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8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omments1.xml" ContentType="application/vnd.openxmlformats-officedocument.spreadsheetml.comments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0.xml" ContentType="application/vnd.openxmlformats-officedocument.drawing+xml"/>
  <Override PartName="/xl/comments2.xml" ContentType="application/vnd.openxmlformats-officedocument.spreadsheetml.comments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1.xml" ContentType="application/vnd.openxmlformats-officedocument.drawing+xml"/>
  <Override PartName="/xl/comments3.xml" ContentType="application/vnd.openxmlformats-officedocument.spreadsheetml.comments+xml"/>
  <Override PartName="/xl/threadedComments/threadedComment1.xml" ContentType="application/vnd.ms-excel.threadedcomments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2.xml" ContentType="application/vnd.openxmlformats-officedocument.drawing+xml"/>
  <Override PartName="/xl/comments4.xml" ContentType="application/vnd.openxmlformats-officedocument.spreadsheetml.comments+xml"/>
  <Override PartName="/xl/threadedComments/threadedComment2.xml" ContentType="application/vnd.ms-excel.threadedcomments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3.xml" ContentType="application/vnd.openxmlformats-officedocument.drawing+xml"/>
  <Override PartName="/xl/comments5.xml" ContentType="application/vnd.openxmlformats-officedocument.spreadsheetml.comments+xml"/>
  <Override PartName="/xl/threadedComments/threadedComment3.xml" ContentType="application/vnd.ms-excel.threadedcomments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4.xml" ContentType="application/vnd.openxmlformats-officedocument.drawing+xml"/>
  <Override PartName="/xl/comments6.xml" ContentType="application/vnd.openxmlformats-officedocument.spreadsheetml.comments+xml"/>
  <Override PartName="/xl/threadedComments/threadedComment4.xml" ContentType="application/vnd.ms-excel.threadedcomments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5.xml" ContentType="application/vnd.openxmlformats-officedocument.drawing+xml"/>
  <Override PartName="/xl/comments7.xml" ContentType="application/vnd.openxmlformats-officedocument.spreadsheetml.comments+xml"/>
  <Override PartName="/xl/threadedComments/threadedComment5.xml" ContentType="application/vnd.ms-excel.threadedcomments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16.xml" ContentType="application/vnd.openxmlformats-officedocument.drawing+xml"/>
  <Override PartName="/xl/comments8.xml" ContentType="application/vnd.openxmlformats-officedocument.spreadsheetml.comments+xml"/>
  <Override PartName="/xl/threadedComments/threadedComment6.xml" ContentType="application/vnd.ms-excel.threadedcomments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1data\docs\FINANCIAL INFORMATION\2024 Financial Information\"/>
    </mc:Choice>
  </mc:AlternateContent>
  <xr:revisionPtr revIDLastSave="0" documentId="8_{D6448B0C-814C-4331-AB60-26BF09D24981}" xr6:coauthVersionLast="47" xr6:coauthVersionMax="47" xr10:uidLastSave="{00000000-0000-0000-0000-000000000000}"/>
  <bookViews>
    <workbookView xWindow="-120" yWindow="-120" windowWidth="38640" windowHeight="21240" tabRatio="808" firstSheet="11" activeTab="15" xr2:uid="{00000000-000D-0000-FFFF-FFFF00000000}"/>
  </bookViews>
  <sheets>
    <sheet name="2010 Budget" sheetId="1" r:id="rId1"/>
    <sheet name="2011 Budget" sheetId="2" r:id="rId2"/>
    <sheet name="2012 Budget" sheetId="3" r:id="rId3"/>
    <sheet name="2013 Budget" sheetId="4" r:id="rId4"/>
    <sheet name="2014 Budget" sheetId="5" r:id="rId5"/>
    <sheet name="2015 Budget" sheetId="6" r:id="rId6"/>
    <sheet name="2016 Budget" sheetId="7" r:id="rId7"/>
    <sheet name="2017 Budget" sheetId="10" r:id="rId8"/>
    <sheet name="2018 Budget" sheetId="11" r:id="rId9"/>
    <sheet name="2019 Budget" sheetId="12" r:id="rId10"/>
    <sheet name="2020 Budget" sheetId="14" r:id="rId11"/>
    <sheet name="2021 Budget" sheetId="13" r:id="rId12"/>
    <sheet name="2022 Budget" sheetId="15" r:id="rId13"/>
    <sheet name="2023 Budget" sheetId="17" r:id="rId14"/>
    <sheet name="2024 Budget" sheetId="18" r:id="rId15"/>
    <sheet name="2025 Budget" sheetId="19" r:id="rId16"/>
  </sheets>
  <definedNames>
    <definedName name="_xlnm.Print_Area" localSheetId="0">'2010 Budget'!$A$1:$X$64</definedName>
    <definedName name="_xlnm.Print_Area" localSheetId="1">'2011 Budget'!$A$1:$X$66</definedName>
    <definedName name="_xlnm.Print_Area" localSheetId="2">'2012 Budget'!$A$1:$X$67</definedName>
    <definedName name="_xlnm.Print_Area" localSheetId="3">'2013 Budget'!$A$1:$W$66</definedName>
    <definedName name="_xlnm.Print_Area" localSheetId="4">'2014 Budget'!$A$1:$X$68</definedName>
    <definedName name="_xlnm.Print_Area" localSheetId="5">'2015 Budget'!$A$1:$X$70</definedName>
    <definedName name="_xlnm.Print_Area" localSheetId="6">'2016 Budget'!$A$1:$X$70</definedName>
    <definedName name="_xlnm.Print_Area" localSheetId="7">'2017 Budget'!$A$1:$AC$71</definedName>
    <definedName name="_xlnm.Print_Area" localSheetId="12">'2022 Budget'!$A$1:$AH$77</definedName>
    <definedName name="_xlnm.Print_Area" localSheetId="13">'2023 Budget'!$A$1:$AH$77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S50" i="19" l="1"/>
  <c r="AG47" i="19"/>
  <c r="AH47" i="19"/>
  <c r="AF47" i="19"/>
  <c r="AH43" i="19"/>
  <c r="AG43" i="19"/>
  <c r="AF43" i="19"/>
  <c r="AE43" i="19"/>
  <c r="AD43" i="19"/>
  <c r="AC43" i="19"/>
  <c r="AB43" i="19"/>
  <c r="AA43" i="19"/>
  <c r="Z43" i="19"/>
  <c r="Y43" i="19"/>
  <c r="X43" i="19"/>
  <c r="W43" i="19"/>
  <c r="V43" i="19"/>
  <c r="U43" i="19"/>
  <c r="T43" i="19"/>
  <c r="S43" i="19"/>
  <c r="R43" i="19"/>
  <c r="R47" i="19"/>
  <c r="S23" i="19"/>
  <c r="S45" i="19"/>
  <c r="S5" i="19"/>
  <c r="M20" i="19"/>
  <c r="N20" i="19"/>
  <c r="O20" i="19"/>
  <c r="P20" i="19"/>
  <c r="Q20" i="19"/>
  <c r="R20" i="19"/>
  <c r="R24" i="19"/>
  <c r="M50" i="19" l="1"/>
  <c r="L50" i="19"/>
  <c r="K50" i="19"/>
  <c r="J50" i="19"/>
  <c r="I50" i="19"/>
  <c r="H50" i="19"/>
  <c r="G50" i="19"/>
  <c r="F50" i="19"/>
  <c r="E50" i="19"/>
  <c r="D50" i="19"/>
  <c r="C50" i="19"/>
  <c r="G48" i="19"/>
  <c r="F48" i="19"/>
  <c r="E48" i="19"/>
  <c r="D48" i="19"/>
  <c r="K47" i="19"/>
  <c r="J47" i="19"/>
  <c r="H47" i="19"/>
  <c r="G47" i="19"/>
  <c r="F47" i="19"/>
  <c r="D47" i="19"/>
  <c r="L45" i="19"/>
  <c r="I45" i="19"/>
  <c r="I47" i="19" s="1"/>
  <c r="E45" i="19"/>
  <c r="E47" i="19" s="1"/>
  <c r="W42" i="19"/>
  <c r="X42" i="19" s="1"/>
  <c r="Y42" i="19" s="1"/>
  <c r="Z42" i="19" s="1"/>
  <c r="AA42" i="19" s="1"/>
  <c r="AB42" i="19" s="1"/>
  <c r="AC42" i="19" s="1"/>
  <c r="AD42" i="19" s="1"/>
  <c r="AE42" i="19" s="1"/>
  <c r="AF42" i="19" s="1"/>
  <c r="AG42" i="19" s="1"/>
  <c r="AH42" i="19" s="1"/>
  <c r="V42" i="19"/>
  <c r="U42" i="19"/>
  <c r="T42" i="19"/>
  <c r="S42" i="19"/>
  <c r="R42" i="19"/>
  <c r="Q42" i="19"/>
  <c r="Q45" i="19" s="1"/>
  <c r="P42" i="19"/>
  <c r="O42" i="19"/>
  <c r="C37" i="19"/>
  <c r="I30" i="19"/>
  <c r="E30" i="19"/>
  <c r="E31" i="19" s="1"/>
  <c r="D30" i="19"/>
  <c r="Q29" i="19"/>
  <c r="O29" i="19"/>
  <c r="P28" i="19"/>
  <c r="O28" i="19"/>
  <c r="O23" i="19" s="1"/>
  <c r="C27" i="19"/>
  <c r="O26" i="19"/>
  <c r="G26" i="19"/>
  <c r="F26" i="19"/>
  <c r="E26" i="19"/>
  <c r="C26" i="19"/>
  <c r="I25" i="19"/>
  <c r="J25" i="19" s="1"/>
  <c r="K25" i="19" s="1"/>
  <c r="L25" i="19" s="1"/>
  <c r="M25" i="19" s="1"/>
  <c r="P24" i="19"/>
  <c r="O24" i="19"/>
  <c r="L24" i="19"/>
  <c r="K24" i="19"/>
  <c r="J24" i="19"/>
  <c r="Q23" i="19"/>
  <c r="L23" i="19"/>
  <c r="L30" i="19" s="1"/>
  <c r="L31" i="19" s="1"/>
  <c r="K23" i="19"/>
  <c r="K30" i="19" s="1"/>
  <c r="J23" i="19"/>
  <c r="J30" i="19" s="1"/>
  <c r="I23" i="19"/>
  <c r="H23" i="19"/>
  <c r="H30" i="19" s="1"/>
  <c r="H31" i="19" s="1"/>
  <c r="G23" i="19"/>
  <c r="G30" i="19" s="1"/>
  <c r="F23" i="19"/>
  <c r="F30" i="19" s="1"/>
  <c r="E23" i="19"/>
  <c r="C23" i="19"/>
  <c r="C30" i="19" s="1"/>
  <c r="D31" i="19" s="1"/>
  <c r="L20" i="19"/>
  <c r="L21" i="19" s="1"/>
  <c r="K20" i="19"/>
  <c r="K34" i="19" s="1"/>
  <c r="J20" i="19"/>
  <c r="K21" i="19" s="1"/>
  <c r="I20" i="19"/>
  <c r="I34" i="19" s="1"/>
  <c r="H20" i="19"/>
  <c r="H21" i="19" s="1"/>
  <c r="G20" i="19"/>
  <c r="G34" i="19" s="1"/>
  <c r="F20" i="19"/>
  <c r="G21" i="19" s="1"/>
  <c r="E20" i="19"/>
  <c r="E34" i="19" s="1"/>
  <c r="D20" i="19"/>
  <c r="C18" i="19"/>
  <c r="C20" i="19" s="1"/>
  <c r="O17" i="19"/>
  <c r="O16" i="19"/>
  <c r="M15" i="19"/>
  <c r="N15" i="19" s="1"/>
  <c r="L15" i="19"/>
  <c r="S9" i="19"/>
  <c r="N9" i="19"/>
  <c r="O9" i="19" s="1"/>
  <c r="M9" i="19"/>
  <c r="C8" i="19"/>
  <c r="R7" i="19"/>
  <c r="N7" i="19"/>
  <c r="D7" i="19"/>
  <c r="R6" i="19"/>
  <c r="Q6" i="19"/>
  <c r="P6" i="19"/>
  <c r="O6" i="19"/>
  <c r="N6" i="19"/>
  <c r="T5" i="19"/>
  <c r="E5" i="19"/>
  <c r="F5" i="19" s="1"/>
  <c r="G5" i="19" s="1"/>
  <c r="H5" i="19" s="1"/>
  <c r="I5" i="19" s="1"/>
  <c r="J5" i="19" s="1"/>
  <c r="K5" i="19" s="1"/>
  <c r="L5" i="19" s="1"/>
  <c r="M6" i="19" s="1"/>
  <c r="D5" i="19"/>
  <c r="H3" i="19"/>
  <c r="H74" i="19" s="1"/>
  <c r="G3" i="19"/>
  <c r="G74" i="19" s="1"/>
  <c r="Q6" i="18"/>
  <c r="O45" i="18"/>
  <c r="O47" i="18"/>
  <c r="O49" i="18"/>
  <c r="Q43" i="18"/>
  <c r="I31" i="19" l="1"/>
  <c r="U5" i="19"/>
  <c r="E75" i="19"/>
  <c r="E76" i="19" s="1"/>
  <c r="E39" i="19"/>
  <c r="E43" i="19" s="1"/>
  <c r="I75" i="19"/>
  <c r="I39" i="19"/>
  <c r="I43" i="19" s="1"/>
  <c r="C34" i="19"/>
  <c r="G75" i="19"/>
  <c r="G39" i="19"/>
  <c r="G43" i="19" s="1"/>
  <c r="K39" i="19"/>
  <c r="K43" i="19" s="1"/>
  <c r="K75" i="19"/>
  <c r="F34" i="19"/>
  <c r="F31" i="19"/>
  <c r="J31" i="19"/>
  <c r="J34" i="19"/>
  <c r="O15" i="19"/>
  <c r="D21" i="19"/>
  <c r="G31" i="19"/>
  <c r="K31" i="19"/>
  <c r="N25" i="19"/>
  <c r="M30" i="19"/>
  <c r="M31" i="19" s="1"/>
  <c r="I21" i="19"/>
  <c r="Q47" i="19"/>
  <c r="T9" i="19"/>
  <c r="U9" i="19" s="1"/>
  <c r="V9" i="19" s="1"/>
  <c r="W9" i="19" s="1"/>
  <c r="X9" i="19" s="1"/>
  <c r="Y9" i="19" s="1"/>
  <c r="Z9" i="19" s="1"/>
  <c r="AA9" i="19" s="1"/>
  <c r="AB9" i="19" s="1"/>
  <c r="AC9" i="19" s="1"/>
  <c r="AD9" i="19" s="1"/>
  <c r="AE9" i="19" s="1"/>
  <c r="AF9" i="19" s="1"/>
  <c r="AG9" i="19" s="1"/>
  <c r="AH9" i="19" s="1"/>
  <c r="F21" i="19"/>
  <c r="J21" i="19"/>
  <c r="E21" i="19"/>
  <c r="T27" i="19"/>
  <c r="U27" i="19" s="1"/>
  <c r="V27" i="19" s="1"/>
  <c r="W27" i="19" s="1"/>
  <c r="X27" i="19" s="1"/>
  <c r="Y27" i="19" s="1"/>
  <c r="Z27" i="19" s="1"/>
  <c r="AA27" i="19" s="1"/>
  <c r="AB27" i="19" s="1"/>
  <c r="AC27" i="19" s="1"/>
  <c r="AD27" i="19" s="1"/>
  <c r="AE27" i="19" s="1"/>
  <c r="AF27" i="19" s="1"/>
  <c r="AG27" i="19" s="1"/>
  <c r="AH27" i="19" s="1"/>
  <c r="D34" i="19"/>
  <c r="H34" i="19"/>
  <c r="L34" i="19"/>
  <c r="I3" i="19"/>
  <c r="L47" i="19"/>
  <c r="K48" i="19"/>
  <c r="R14" i="18"/>
  <c r="Q45" i="18"/>
  <c r="Q23" i="18"/>
  <c r="Q29" i="18"/>
  <c r="L39" i="19" l="1"/>
  <c r="L43" i="19" s="1"/>
  <c r="L76" i="19"/>
  <c r="L75" i="19"/>
  <c r="T18" i="19"/>
  <c r="U18" i="19" s="1"/>
  <c r="V18" i="19" s="1"/>
  <c r="W18" i="19" s="1"/>
  <c r="X18" i="19" s="1"/>
  <c r="Y18" i="19" s="1"/>
  <c r="Z18" i="19" s="1"/>
  <c r="AA18" i="19" s="1"/>
  <c r="AB18" i="19" s="1"/>
  <c r="AC18" i="19" s="1"/>
  <c r="AD18" i="19" s="1"/>
  <c r="AE18" i="19" s="1"/>
  <c r="AF18" i="19" s="1"/>
  <c r="AG18" i="19" s="1"/>
  <c r="AH18" i="19" s="1"/>
  <c r="H76" i="19"/>
  <c r="H75" i="19"/>
  <c r="H39" i="19"/>
  <c r="H43" i="19" s="1"/>
  <c r="T24" i="19"/>
  <c r="U24" i="19" s="1"/>
  <c r="V24" i="19" s="1"/>
  <c r="W24" i="19" s="1"/>
  <c r="X24" i="19" s="1"/>
  <c r="Y24" i="19" s="1"/>
  <c r="Z24" i="19" s="1"/>
  <c r="AA24" i="19" s="1"/>
  <c r="AB24" i="19" s="1"/>
  <c r="AC24" i="19" s="1"/>
  <c r="AD24" i="19" s="1"/>
  <c r="AE24" i="19" s="1"/>
  <c r="AF24" i="19" s="1"/>
  <c r="AG24" i="19" s="1"/>
  <c r="AH24" i="19" s="1"/>
  <c r="T26" i="19"/>
  <c r="U26" i="19" s="1"/>
  <c r="V26" i="19" s="1"/>
  <c r="W26" i="19" s="1"/>
  <c r="X26" i="19" s="1"/>
  <c r="Y26" i="19" s="1"/>
  <c r="Z26" i="19" s="1"/>
  <c r="AA26" i="19" s="1"/>
  <c r="AB26" i="19" s="1"/>
  <c r="AC26" i="19" s="1"/>
  <c r="AD26" i="19" s="1"/>
  <c r="AE26" i="19" s="1"/>
  <c r="AF26" i="19" s="1"/>
  <c r="AG26" i="19" s="1"/>
  <c r="AH26" i="19" s="1"/>
  <c r="M34" i="19"/>
  <c r="M21" i="19"/>
  <c r="O25" i="19"/>
  <c r="N30" i="19"/>
  <c r="N31" i="19" s="1"/>
  <c r="P15" i="19"/>
  <c r="J76" i="19"/>
  <c r="J75" i="19"/>
  <c r="J39" i="19"/>
  <c r="J43" i="19" s="1"/>
  <c r="G77" i="19"/>
  <c r="I74" i="19"/>
  <c r="J3" i="19"/>
  <c r="D76" i="19"/>
  <c r="D75" i="19"/>
  <c r="D39" i="19"/>
  <c r="D43" i="19" s="1"/>
  <c r="T23" i="19"/>
  <c r="T16" i="19"/>
  <c r="U16" i="19" s="1"/>
  <c r="V16" i="19" s="1"/>
  <c r="W16" i="19" s="1"/>
  <c r="X16" i="19" s="1"/>
  <c r="Y16" i="19" s="1"/>
  <c r="Z16" i="19" s="1"/>
  <c r="AA16" i="19" s="1"/>
  <c r="AB16" i="19" s="1"/>
  <c r="AC16" i="19" s="1"/>
  <c r="AD16" i="19" s="1"/>
  <c r="AE16" i="19" s="1"/>
  <c r="AF16" i="19" s="1"/>
  <c r="AG16" i="19" s="1"/>
  <c r="AH16" i="19" s="1"/>
  <c r="T28" i="19"/>
  <c r="U28" i="19" s="1"/>
  <c r="V28" i="19" s="1"/>
  <c r="W28" i="19" s="1"/>
  <c r="X28" i="19" s="1"/>
  <c r="Y28" i="19" s="1"/>
  <c r="Z28" i="19" s="1"/>
  <c r="AA28" i="19" s="1"/>
  <c r="AB28" i="19" s="1"/>
  <c r="AC28" i="19" s="1"/>
  <c r="AD28" i="19" s="1"/>
  <c r="AE28" i="19" s="1"/>
  <c r="AF28" i="19" s="1"/>
  <c r="AG28" i="19" s="1"/>
  <c r="AH28" i="19" s="1"/>
  <c r="N21" i="19"/>
  <c r="N34" i="19"/>
  <c r="K76" i="19"/>
  <c r="K77" i="19" s="1"/>
  <c r="G76" i="19"/>
  <c r="I76" i="19"/>
  <c r="I77" i="19" s="1"/>
  <c r="V5" i="19"/>
  <c r="F75" i="19"/>
  <c r="F39" i="19"/>
  <c r="F43" i="19" s="1"/>
  <c r="E77" i="19"/>
  <c r="M48" i="19"/>
  <c r="L48" i="19"/>
  <c r="L46" i="19" s="1"/>
  <c r="T29" i="19"/>
  <c r="U29" i="19" s="1"/>
  <c r="V29" i="19" s="1"/>
  <c r="W29" i="19" s="1"/>
  <c r="X29" i="19" s="1"/>
  <c r="Y29" i="19" s="1"/>
  <c r="Z29" i="19" s="1"/>
  <c r="AA29" i="19" s="1"/>
  <c r="AB29" i="19" s="1"/>
  <c r="AC29" i="19" s="1"/>
  <c r="AD29" i="19" s="1"/>
  <c r="AE29" i="19" s="1"/>
  <c r="AF29" i="19" s="1"/>
  <c r="AG29" i="19" s="1"/>
  <c r="AH29" i="19" s="1"/>
  <c r="C75" i="19"/>
  <c r="C39" i="19"/>
  <c r="C43" i="19" s="1"/>
  <c r="T19" i="19"/>
  <c r="U19" i="19" s="1"/>
  <c r="V19" i="19" s="1"/>
  <c r="W19" i="19" s="1"/>
  <c r="X19" i="19" s="1"/>
  <c r="Y19" i="19" s="1"/>
  <c r="Z19" i="19" s="1"/>
  <c r="AA19" i="19" s="1"/>
  <c r="AB19" i="19" s="1"/>
  <c r="AC19" i="19" s="1"/>
  <c r="AD19" i="19" s="1"/>
  <c r="AE19" i="19" s="1"/>
  <c r="AF19" i="19" s="1"/>
  <c r="AG19" i="19" s="1"/>
  <c r="AH19" i="19" s="1"/>
  <c r="R6" i="18"/>
  <c r="N48" i="19" l="1"/>
  <c r="N75" i="19"/>
  <c r="N39" i="19"/>
  <c r="P25" i="19"/>
  <c r="O30" i="19"/>
  <c r="O31" i="19" s="1"/>
  <c r="J74" i="19"/>
  <c r="K3" i="19"/>
  <c r="Q15" i="19"/>
  <c r="C76" i="19"/>
  <c r="C77" i="19" s="1"/>
  <c r="O48" i="19"/>
  <c r="F76" i="19"/>
  <c r="F77" i="19" s="1"/>
  <c r="O21" i="19"/>
  <c r="O34" i="19"/>
  <c r="M75" i="19"/>
  <c r="M76" i="19" s="1"/>
  <c r="M39" i="19"/>
  <c r="M43" i="19" s="1"/>
  <c r="M45" i="19" s="1"/>
  <c r="H77" i="19"/>
  <c r="U23" i="19"/>
  <c r="W5" i="19"/>
  <c r="D77" i="19"/>
  <c r="J77" i="19"/>
  <c r="L77" i="19"/>
  <c r="M50" i="18"/>
  <c r="L50" i="18"/>
  <c r="K50" i="18"/>
  <c r="J50" i="18"/>
  <c r="I50" i="18"/>
  <c r="H50" i="18"/>
  <c r="G50" i="18"/>
  <c r="F50" i="18"/>
  <c r="E50" i="18"/>
  <c r="D50" i="18"/>
  <c r="C50" i="18"/>
  <c r="G48" i="18"/>
  <c r="F48" i="18"/>
  <c r="E48" i="18"/>
  <c r="D48" i="18"/>
  <c r="AH47" i="18"/>
  <c r="L47" i="18"/>
  <c r="K47" i="18"/>
  <c r="H47" i="18"/>
  <c r="G47" i="18"/>
  <c r="D47" i="18"/>
  <c r="L45" i="18"/>
  <c r="I45" i="18"/>
  <c r="E45" i="18"/>
  <c r="F47" i="18" s="1"/>
  <c r="AB42" i="18"/>
  <c r="AC42" i="18" s="1"/>
  <c r="AD42" i="18" s="1"/>
  <c r="AE42" i="18" s="1"/>
  <c r="AF42" i="18" s="1"/>
  <c r="AG42" i="18" s="1"/>
  <c r="AH42" i="18" s="1"/>
  <c r="X42" i="18"/>
  <c r="Y42" i="18" s="1"/>
  <c r="Z42" i="18" s="1"/>
  <c r="AA42" i="18" s="1"/>
  <c r="W42" i="18"/>
  <c r="V42" i="18"/>
  <c r="U42" i="18"/>
  <c r="T42" i="18"/>
  <c r="S42" i="18"/>
  <c r="R42" i="18"/>
  <c r="Q42" i="18"/>
  <c r="P42" i="18"/>
  <c r="O42" i="18"/>
  <c r="C37" i="18"/>
  <c r="H30" i="18"/>
  <c r="D30" i="18"/>
  <c r="O29" i="18"/>
  <c r="P28" i="18"/>
  <c r="O28" i="18"/>
  <c r="C27" i="18"/>
  <c r="O26" i="18"/>
  <c r="G26" i="18"/>
  <c r="F26" i="18"/>
  <c r="E26" i="18"/>
  <c r="C26" i="18"/>
  <c r="J25" i="18"/>
  <c r="K25" i="18" s="1"/>
  <c r="L25" i="18" s="1"/>
  <c r="I25" i="18"/>
  <c r="P24" i="18"/>
  <c r="O24" i="18"/>
  <c r="L24" i="18"/>
  <c r="K24" i="18"/>
  <c r="J24" i="18"/>
  <c r="L23" i="18"/>
  <c r="K23" i="18"/>
  <c r="K30" i="18" s="1"/>
  <c r="K31" i="18" s="1"/>
  <c r="J23" i="18"/>
  <c r="J30" i="18" s="1"/>
  <c r="I23" i="18"/>
  <c r="I30" i="18" s="1"/>
  <c r="I31" i="18" s="1"/>
  <c r="H23" i="18"/>
  <c r="G23" i="18"/>
  <c r="G30" i="18" s="1"/>
  <c r="G31" i="18" s="1"/>
  <c r="F23" i="18"/>
  <c r="F30" i="18" s="1"/>
  <c r="E23" i="18"/>
  <c r="E30" i="18" s="1"/>
  <c r="E31" i="18" s="1"/>
  <c r="C23" i="18"/>
  <c r="C30" i="18" s="1"/>
  <c r="K20" i="18"/>
  <c r="J20" i="18"/>
  <c r="I20" i="18"/>
  <c r="H20" i="18"/>
  <c r="H34" i="18" s="1"/>
  <c r="G20" i="18"/>
  <c r="F20" i="18"/>
  <c r="E20" i="18"/>
  <c r="F21" i="18" s="1"/>
  <c r="D20" i="18"/>
  <c r="D34" i="18" s="1"/>
  <c r="C18" i="18"/>
  <c r="C20" i="18" s="1"/>
  <c r="C34" i="18" s="1"/>
  <c r="O17" i="18"/>
  <c r="O23" i="18" s="1"/>
  <c r="O16" i="18"/>
  <c r="L15" i="18"/>
  <c r="S9" i="18"/>
  <c r="T9" i="18" s="1"/>
  <c r="U9" i="18" s="1"/>
  <c r="V9" i="18" s="1"/>
  <c r="W9" i="18" s="1"/>
  <c r="X9" i="18" s="1"/>
  <c r="Y9" i="18" s="1"/>
  <c r="Z9" i="18" s="1"/>
  <c r="AA9" i="18" s="1"/>
  <c r="AB9" i="18" s="1"/>
  <c r="AC9" i="18" s="1"/>
  <c r="AD9" i="18" s="1"/>
  <c r="AE9" i="18" s="1"/>
  <c r="AF9" i="18" s="1"/>
  <c r="AG9" i="18" s="1"/>
  <c r="AH9" i="18" s="1"/>
  <c r="N9" i="18"/>
  <c r="O9" i="18" s="1"/>
  <c r="M9" i="18"/>
  <c r="C8" i="18"/>
  <c r="N7" i="18"/>
  <c r="D7" i="18"/>
  <c r="P6" i="18"/>
  <c r="O6" i="18"/>
  <c r="N6" i="18"/>
  <c r="E5" i="18"/>
  <c r="F5" i="18" s="1"/>
  <c r="G5" i="18" s="1"/>
  <c r="H5" i="18" s="1"/>
  <c r="I5" i="18" s="1"/>
  <c r="J5" i="18" s="1"/>
  <c r="K5" i="18" s="1"/>
  <c r="L5" i="18" s="1"/>
  <c r="M6" i="18" s="1"/>
  <c r="D5" i="18"/>
  <c r="H3" i="18"/>
  <c r="H74" i="18" s="1"/>
  <c r="G3" i="18"/>
  <c r="G74" i="18" s="1"/>
  <c r="X5" i="19" l="1"/>
  <c r="V23" i="19"/>
  <c r="R15" i="19"/>
  <c r="N77" i="19"/>
  <c r="O39" i="19"/>
  <c r="O75" i="19"/>
  <c r="N76" i="19"/>
  <c r="P48" i="19"/>
  <c r="N45" i="19"/>
  <c r="M46" i="19"/>
  <c r="M47" i="19"/>
  <c r="K74" i="19"/>
  <c r="L3" i="19"/>
  <c r="Q25" i="19"/>
  <c r="P30" i="19"/>
  <c r="P31" i="19" s="1"/>
  <c r="M77" i="19"/>
  <c r="P21" i="19"/>
  <c r="S16" i="18"/>
  <c r="T16" i="18" s="1"/>
  <c r="U16" i="18" s="1"/>
  <c r="V16" i="18" s="1"/>
  <c r="W16" i="18" s="1"/>
  <c r="X16" i="18" s="1"/>
  <c r="Y16" i="18" s="1"/>
  <c r="Z16" i="18" s="1"/>
  <c r="AA16" i="18" s="1"/>
  <c r="AB16" i="18" s="1"/>
  <c r="AC16" i="18" s="1"/>
  <c r="AD16" i="18" s="1"/>
  <c r="AE16" i="18" s="1"/>
  <c r="AF16" i="18" s="1"/>
  <c r="AG16" i="18" s="1"/>
  <c r="AH16" i="18" s="1"/>
  <c r="S27" i="18"/>
  <c r="T27" i="18" s="1"/>
  <c r="U27" i="18" s="1"/>
  <c r="V27" i="18" s="1"/>
  <c r="W27" i="18" s="1"/>
  <c r="X27" i="18" s="1"/>
  <c r="Y27" i="18" s="1"/>
  <c r="Z27" i="18" s="1"/>
  <c r="AA27" i="18" s="1"/>
  <c r="AB27" i="18" s="1"/>
  <c r="AC27" i="18" s="1"/>
  <c r="AD27" i="18" s="1"/>
  <c r="AE27" i="18" s="1"/>
  <c r="AF27" i="18" s="1"/>
  <c r="AG27" i="18" s="1"/>
  <c r="AH27" i="18" s="1"/>
  <c r="S23" i="18"/>
  <c r="S28" i="18"/>
  <c r="T28" i="18" s="1"/>
  <c r="U28" i="18" s="1"/>
  <c r="V28" i="18" s="1"/>
  <c r="W28" i="18" s="1"/>
  <c r="X28" i="18" s="1"/>
  <c r="Y28" i="18" s="1"/>
  <c r="Z28" i="18" s="1"/>
  <c r="AA28" i="18" s="1"/>
  <c r="AB28" i="18" s="1"/>
  <c r="AC28" i="18" s="1"/>
  <c r="AD28" i="18" s="1"/>
  <c r="AE28" i="18" s="1"/>
  <c r="AF28" i="18" s="1"/>
  <c r="AG28" i="18" s="1"/>
  <c r="AH28" i="18" s="1"/>
  <c r="S18" i="18"/>
  <c r="T18" i="18" s="1"/>
  <c r="U18" i="18" s="1"/>
  <c r="V18" i="18" s="1"/>
  <c r="W18" i="18" s="1"/>
  <c r="X18" i="18" s="1"/>
  <c r="Y18" i="18" s="1"/>
  <c r="Z18" i="18" s="1"/>
  <c r="AA18" i="18" s="1"/>
  <c r="AB18" i="18" s="1"/>
  <c r="AC18" i="18" s="1"/>
  <c r="AD18" i="18" s="1"/>
  <c r="AE18" i="18" s="1"/>
  <c r="AF18" i="18" s="1"/>
  <c r="AG18" i="18" s="1"/>
  <c r="AH18" i="18" s="1"/>
  <c r="C39" i="18"/>
  <c r="C43" i="18" s="1"/>
  <c r="C76" i="18"/>
  <c r="C75" i="18"/>
  <c r="F34" i="18"/>
  <c r="J34" i="18"/>
  <c r="L20" i="18"/>
  <c r="M15" i="18"/>
  <c r="I21" i="18"/>
  <c r="I34" i="18"/>
  <c r="G34" i="18"/>
  <c r="K34" i="18"/>
  <c r="J21" i="18"/>
  <c r="M25" i="18"/>
  <c r="L30" i="18"/>
  <c r="L31" i="18" s="1"/>
  <c r="D31" i="18"/>
  <c r="E21" i="18"/>
  <c r="E34" i="18"/>
  <c r="D75" i="18"/>
  <c r="D39" i="18"/>
  <c r="D43" i="18" s="1"/>
  <c r="H76" i="18"/>
  <c r="H75" i="18"/>
  <c r="H39" i="18"/>
  <c r="H43" i="18" s="1"/>
  <c r="F31" i="18"/>
  <c r="J31" i="18"/>
  <c r="H31" i="18"/>
  <c r="S19" i="18"/>
  <c r="T19" i="18" s="1"/>
  <c r="U19" i="18" s="1"/>
  <c r="V19" i="18" s="1"/>
  <c r="W19" i="18" s="1"/>
  <c r="X19" i="18" s="1"/>
  <c r="Y19" i="18" s="1"/>
  <c r="Z19" i="18" s="1"/>
  <c r="AA19" i="18" s="1"/>
  <c r="AB19" i="18" s="1"/>
  <c r="AC19" i="18" s="1"/>
  <c r="AD19" i="18" s="1"/>
  <c r="AE19" i="18" s="1"/>
  <c r="AF19" i="18" s="1"/>
  <c r="AG19" i="18" s="1"/>
  <c r="AH19" i="18" s="1"/>
  <c r="G21" i="18"/>
  <c r="K21" i="18"/>
  <c r="D21" i="18"/>
  <c r="H21" i="18"/>
  <c r="S24" i="18"/>
  <c r="T24" i="18" s="1"/>
  <c r="U24" i="18" s="1"/>
  <c r="V24" i="18" s="1"/>
  <c r="W24" i="18" s="1"/>
  <c r="X24" i="18" s="1"/>
  <c r="Y24" i="18" s="1"/>
  <c r="Z24" i="18" s="1"/>
  <c r="AA24" i="18" s="1"/>
  <c r="AB24" i="18" s="1"/>
  <c r="AC24" i="18" s="1"/>
  <c r="AD24" i="18" s="1"/>
  <c r="AE24" i="18" s="1"/>
  <c r="AF24" i="18" s="1"/>
  <c r="AG24" i="18" s="1"/>
  <c r="AH24" i="18" s="1"/>
  <c r="S26" i="18"/>
  <c r="T26" i="18" s="1"/>
  <c r="U26" i="18" s="1"/>
  <c r="V26" i="18" s="1"/>
  <c r="W26" i="18" s="1"/>
  <c r="X26" i="18" s="1"/>
  <c r="Y26" i="18" s="1"/>
  <c r="Z26" i="18" s="1"/>
  <c r="AA26" i="18" s="1"/>
  <c r="AB26" i="18" s="1"/>
  <c r="AC26" i="18" s="1"/>
  <c r="AD26" i="18" s="1"/>
  <c r="AE26" i="18" s="1"/>
  <c r="AF26" i="18" s="1"/>
  <c r="AG26" i="18" s="1"/>
  <c r="AH26" i="18" s="1"/>
  <c r="S29" i="18"/>
  <c r="T29" i="18" s="1"/>
  <c r="U29" i="18" s="1"/>
  <c r="V29" i="18" s="1"/>
  <c r="W29" i="18" s="1"/>
  <c r="X29" i="18" s="1"/>
  <c r="Y29" i="18" s="1"/>
  <c r="Z29" i="18" s="1"/>
  <c r="AA29" i="18" s="1"/>
  <c r="AB29" i="18" s="1"/>
  <c r="AC29" i="18" s="1"/>
  <c r="AD29" i="18" s="1"/>
  <c r="AE29" i="18" s="1"/>
  <c r="AF29" i="18" s="1"/>
  <c r="AG29" i="18" s="1"/>
  <c r="AH29" i="18" s="1"/>
  <c r="L48" i="18"/>
  <c r="I3" i="18"/>
  <c r="S5" i="18"/>
  <c r="J47" i="18"/>
  <c r="I47" i="18"/>
  <c r="E47" i="18"/>
  <c r="K48" i="18"/>
  <c r="P24" i="17"/>
  <c r="R48" i="19" l="1"/>
  <c r="S48" i="19" s="1"/>
  <c r="T48" i="19" s="1"/>
  <c r="U48" i="19" s="1"/>
  <c r="V48" i="19" s="1"/>
  <c r="W48" i="19" s="1"/>
  <c r="X48" i="19" s="1"/>
  <c r="Y48" i="19" s="1"/>
  <c r="Z48" i="19" s="1"/>
  <c r="AA48" i="19" s="1"/>
  <c r="AB48" i="19" s="1"/>
  <c r="R25" i="19"/>
  <c r="Q30" i="19"/>
  <c r="Q31" i="19" s="1"/>
  <c r="O77" i="19"/>
  <c r="Q34" i="19"/>
  <c r="Q21" i="19"/>
  <c r="N46" i="19"/>
  <c r="N47" i="19"/>
  <c r="N43" i="19" s="1"/>
  <c r="N49" i="19" s="1"/>
  <c r="O45" i="19"/>
  <c r="O76" i="19"/>
  <c r="T15" i="19"/>
  <c r="U15" i="19" s="1"/>
  <c r="V15" i="19" s="1"/>
  <c r="W15" i="19" s="1"/>
  <c r="X15" i="19" s="1"/>
  <c r="Y15" i="19" s="1"/>
  <c r="Z15" i="19" s="1"/>
  <c r="AA15" i="19" s="1"/>
  <c r="AB15" i="19" s="1"/>
  <c r="AC15" i="19" s="1"/>
  <c r="AD15" i="19" s="1"/>
  <c r="AE15" i="19" s="1"/>
  <c r="AF15" i="19" s="1"/>
  <c r="AG15" i="19" s="1"/>
  <c r="AH15" i="19" s="1"/>
  <c r="Y5" i="19"/>
  <c r="W23" i="19"/>
  <c r="Q48" i="19"/>
  <c r="P34" i="19"/>
  <c r="L74" i="19"/>
  <c r="M3" i="19"/>
  <c r="L34" i="18"/>
  <c r="L21" i="18"/>
  <c r="N48" i="18"/>
  <c r="L46" i="18"/>
  <c r="T5" i="18"/>
  <c r="I75" i="18"/>
  <c r="I39" i="18"/>
  <c r="I43" i="18" s="1"/>
  <c r="J76" i="18"/>
  <c r="J75" i="18"/>
  <c r="J39" i="18"/>
  <c r="J43" i="18" s="1"/>
  <c r="T23" i="18"/>
  <c r="E76" i="18"/>
  <c r="E75" i="18"/>
  <c r="E39" i="18"/>
  <c r="E43" i="18" s="1"/>
  <c r="K39" i="18"/>
  <c r="K43" i="18" s="1"/>
  <c r="K76" i="18"/>
  <c r="K75" i="18"/>
  <c r="F76" i="18"/>
  <c r="F75" i="18"/>
  <c r="F39" i="18"/>
  <c r="F43" i="18" s="1"/>
  <c r="I74" i="18"/>
  <c r="J3" i="18"/>
  <c r="M48" i="18"/>
  <c r="H77" i="18"/>
  <c r="D76" i="18"/>
  <c r="D77" i="18" s="1"/>
  <c r="M30" i="18"/>
  <c r="M31" i="18" s="1"/>
  <c r="N25" i="18"/>
  <c r="G75" i="18"/>
  <c r="G39" i="18"/>
  <c r="G43" i="18" s="1"/>
  <c r="N15" i="18"/>
  <c r="M20" i="18"/>
  <c r="C77" i="18"/>
  <c r="Q23" i="17"/>
  <c r="Q28" i="17"/>
  <c r="Q75" i="19" l="1"/>
  <c r="Q39" i="19"/>
  <c r="Q43" i="19" s="1"/>
  <c r="AC48" i="19"/>
  <c r="AD48" i="19" s="1"/>
  <c r="AE48" i="19" s="1"/>
  <c r="AF48" i="19" s="1"/>
  <c r="AG48" i="19" s="1"/>
  <c r="AH48" i="19" s="1"/>
  <c r="O47" i="19"/>
  <c r="O43" i="19" s="1"/>
  <c r="P47" i="19"/>
  <c r="O46" i="19"/>
  <c r="P46" i="19" s="1"/>
  <c r="Q46" i="19" s="1"/>
  <c r="N50" i="19"/>
  <c r="O49" i="19"/>
  <c r="R30" i="19"/>
  <c r="R34" i="19" s="1"/>
  <c r="S25" i="19"/>
  <c r="P39" i="19"/>
  <c r="P43" i="19" s="1"/>
  <c r="P75" i="19"/>
  <c r="R21" i="19"/>
  <c r="M74" i="19"/>
  <c r="N3" i="19"/>
  <c r="X23" i="19"/>
  <c r="Z5" i="19"/>
  <c r="O15" i="18"/>
  <c r="N20" i="18"/>
  <c r="U23" i="18"/>
  <c r="U5" i="18"/>
  <c r="L76" i="18"/>
  <c r="L75" i="18"/>
  <c r="L39" i="18"/>
  <c r="L43" i="18" s="1"/>
  <c r="O48" i="18"/>
  <c r="K77" i="18"/>
  <c r="E77" i="18"/>
  <c r="N30" i="18"/>
  <c r="N31" i="18" s="1"/>
  <c r="O25" i="18"/>
  <c r="M21" i="18"/>
  <c r="M34" i="18"/>
  <c r="G76" i="18"/>
  <c r="G77" i="18" s="1"/>
  <c r="J74" i="18"/>
  <c r="K3" i="18"/>
  <c r="F77" i="18"/>
  <c r="J77" i="18"/>
  <c r="I76" i="18"/>
  <c r="I77" i="18" s="1"/>
  <c r="Q16" i="17"/>
  <c r="Q6" i="17"/>
  <c r="AA5" i="19" l="1"/>
  <c r="Y23" i="19"/>
  <c r="R31" i="19"/>
  <c r="R45" i="19"/>
  <c r="R75" i="19"/>
  <c r="R39" i="19"/>
  <c r="T25" i="19"/>
  <c r="S30" i="19"/>
  <c r="S31" i="19" s="1"/>
  <c r="N74" i="19"/>
  <c r="O3" i="19"/>
  <c r="P76" i="19"/>
  <c r="P77" i="19" s="1"/>
  <c r="P49" i="19"/>
  <c r="O50" i="19"/>
  <c r="Q76" i="19"/>
  <c r="Q77" i="19" s="1"/>
  <c r="P25" i="18"/>
  <c r="O30" i="18"/>
  <c r="O31" i="18" s="1"/>
  <c r="M39" i="18"/>
  <c r="M43" i="18" s="1"/>
  <c r="M45" i="18" s="1"/>
  <c r="M76" i="18"/>
  <c r="M75" i="18"/>
  <c r="V5" i="18"/>
  <c r="O20" i="18"/>
  <c r="P15" i="18"/>
  <c r="V23" i="18"/>
  <c r="N34" i="18"/>
  <c r="N21" i="18"/>
  <c r="L3" i="18"/>
  <c r="K74" i="18"/>
  <c r="P48" i="18"/>
  <c r="Q48" i="18" s="1"/>
  <c r="L77" i="18"/>
  <c r="P28" i="17"/>
  <c r="P6" i="17"/>
  <c r="U25" i="19" l="1"/>
  <c r="T30" i="19"/>
  <c r="T31" i="19" s="1"/>
  <c r="Z23" i="19"/>
  <c r="O74" i="19"/>
  <c r="P3" i="19"/>
  <c r="O8" i="19"/>
  <c r="R46" i="19"/>
  <c r="Q49" i="19"/>
  <c r="P50" i="19"/>
  <c r="R76" i="19"/>
  <c r="R77" i="19" s="1"/>
  <c r="AB5" i="19"/>
  <c r="R48" i="18"/>
  <c r="S48" i="18" s="1"/>
  <c r="P20" i="18"/>
  <c r="Q15" i="18"/>
  <c r="T48" i="18"/>
  <c r="W5" i="18"/>
  <c r="N45" i="18"/>
  <c r="M46" i="18"/>
  <c r="M47" i="18"/>
  <c r="L74" i="18"/>
  <c r="M3" i="18"/>
  <c r="N75" i="18"/>
  <c r="N76" i="18" s="1"/>
  <c r="N39" i="18"/>
  <c r="O34" i="18"/>
  <c r="O21" i="18"/>
  <c r="W23" i="18"/>
  <c r="M77" i="18"/>
  <c r="Q25" i="18"/>
  <c r="P30" i="18"/>
  <c r="P31" i="18" s="1"/>
  <c r="M50" i="17"/>
  <c r="L50" i="17"/>
  <c r="K50" i="17"/>
  <c r="J50" i="17"/>
  <c r="I50" i="17"/>
  <c r="H50" i="17"/>
  <c r="G50" i="17"/>
  <c r="F50" i="17"/>
  <c r="E50" i="17"/>
  <c r="D50" i="17"/>
  <c r="C50" i="17"/>
  <c r="G48" i="17"/>
  <c r="F48" i="17"/>
  <c r="E48" i="17"/>
  <c r="D48" i="17"/>
  <c r="L47" i="17"/>
  <c r="K47" i="17"/>
  <c r="H47" i="17"/>
  <c r="G47" i="17"/>
  <c r="D47" i="17"/>
  <c r="L45" i="17"/>
  <c r="I45" i="17"/>
  <c r="J47" i="17" s="1"/>
  <c r="E45" i="17"/>
  <c r="F47" i="17" s="1"/>
  <c r="W42" i="17"/>
  <c r="X42" i="17" s="1"/>
  <c r="Y42" i="17" s="1"/>
  <c r="Z42" i="17" s="1"/>
  <c r="AA42" i="17" s="1"/>
  <c r="AB42" i="17" s="1"/>
  <c r="AC42" i="17" s="1"/>
  <c r="AD42" i="17" s="1"/>
  <c r="AE42" i="17" s="1"/>
  <c r="AF42" i="17" s="1"/>
  <c r="AG42" i="17" s="1"/>
  <c r="AH42" i="17" s="1"/>
  <c r="V42" i="17"/>
  <c r="U42" i="17"/>
  <c r="T42" i="17"/>
  <c r="S42" i="17"/>
  <c r="R42" i="17"/>
  <c r="Q42" i="17"/>
  <c r="P42" i="17"/>
  <c r="O42" i="17"/>
  <c r="C37" i="17"/>
  <c r="D30" i="17"/>
  <c r="O29" i="17"/>
  <c r="O28" i="17"/>
  <c r="C27" i="17"/>
  <c r="O26" i="17"/>
  <c r="G26" i="17"/>
  <c r="F26" i="17"/>
  <c r="E26" i="17"/>
  <c r="C26" i="17"/>
  <c r="I25" i="17"/>
  <c r="J25" i="17" s="1"/>
  <c r="K25" i="17" s="1"/>
  <c r="L25" i="17" s="1"/>
  <c r="O24" i="17"/>
  <c r="L24" i="17"/>
  <c r="K24" i="17"/>
  <c r="J24" i="17"/>
  <c r="L23" i="17"/>
  <c r="K23" i="17"/>
  <c r="J23" i="17"/>
  <c r="I23" i="17"/>
  <c r="I30" i="17" s="1"/>
  <c r="H23" i="17"/>
  <c r="H30" i="17" s="1"/>
  <c r="H31" i="17" s="1"/>
  <c r="G23" i="17"/>
  <c r="G30" i="17" s="1"/>
  <c r="F23" i="17"/>
  <c r="E23" i="17"/>
  <c r="E30" i="17" s="1"/>
  <c r="E31" i="17" s="1"/>
  <c r="C23" i="17"/>
  <c r="C30" i="17" s="1"/>
  <c r="K20" i="17"/>
  <c r="J20" i="17"/>
  <c r="I20" i="17"/>
  <c r="I34" i="17" s="1"/>
  <c r="H20" i="17"/>
  <c r="H34" i="17" s="1"/>
  <c r="G20" i="17"/>
  <c r="G34" i="17" s="1"/>
  <c r="F20" i="17"/>
  <c r="E20" i="17"/>
  <c r="E34" i="17" s="1"/>
  <c r="D20" i="17"/>
  <c r="D34" i="17" s="1"/>
  <c r="C18" i="17"/>
  <c r="C20" i="17" s="1"/>
  <c r="O17" i="17"/>
  <c r="O16" i="17"/>
  <c r="L15" i="17"/>
  <c r="L20" i="17" s="1"/>
  <c r="M9" i="17"/>
  <c r="N9" i="17" s="1"/>
  <c r="O9" i="17" s="1"/>
  <c r="C8" i="17"/>
  <c r="N7" i="17"/>
  <c r="D7" i="17"/>
  <c r="O6" i="17"/>
  <c r="N6" i="17"/>
  <c r="R5" i="17"/>
  <c r="D5" i="17"/>
  <c r="E5" i="17" s="1"/>
  <c r="F5" i="17" s="1"/>
  <c r="G5" i="17" s="1"/>
  <c r="H5" i="17" s="1"/>
  <c r="I5" i="17" s="1"/>
  <c r="J5" i="17" s="1"/>
  <c r="K5" i="17" s="1"/>
  <c r="L5" i="17" s="1"/>
  <c r="M6" i="17" s="1"/>
  <c r="H3" i="17"/>
  <c r="H74" i="17" s="1"/>
  <c r="G3" i="17"/>
  <c r="G74" i="17" s="1"/>
  <c r="Q47" i="15"/>
  <c r="R49" i="15"/>
  <c r="Q49" i="15"/>
  <c r="AG48" i="15"/>
  <c r="AH48" i="15" s="1"/>
  <c r="O50" i="15"/>
  <c r="O23" i="15"/>
  <c r="O34" i="15"/>
  <c r="O7" i="19" l="1"/>
  <c r="P8" i="19"/>
  <c r="AA23" i="19"/>
  <c r="R49" i="19"/>
  <c r="Q50" i="19"/>
  <c r="P74" i="19"/>
  <c r="Q3" i="19"/>
  <c r="AC5" i="19"/>
  <c r="V25" i="19"/>
  <c r="U30" i="19"/>
  <c r="U31" i="19" s="1"/>
  <c r="U48" i="18"/>
  <c r="X5" i="18"/>
  <c r="P34" i="18"/>
  <c r="P21" i="18"/>
  <c r="N77" i="18"/>
  <c r="O75" i="18"/>
  <c r="O76" i="18" s="1"/>
  <c r="O39" i="18"/>
  <c r="N46" i="18"/>
  <c r="N47" i="18"/>
  <c r="N43" i="18" s="1"/>
  <c r="N49" i="18" s="1"/>
  <c r="R15" i="18"/>
  <c r="S15" i="18" s="1"/>
  <c r="T15" i="18" s="1"/>
  <c r="U15" i="18" s="1"/>
  <c r="V15" i="18" s="1"/>
  <c r="W15" i="18" s="1"/>
  <c r="X15" i="18" s="1"/>
  <c r="Y15" i="18" s="1"/>
  <c r="Z15" i="18" s="1"/>
  <c r="AA15" i="18" s="1"/>
  <c r="AB15" i="18" s="1"/>
  <c r="AC15" i="18" s="1"/>
  <c r="AD15" i="18" s="1"/>
  <c r="AE15" i="18" s="1"/>
  <c r="AF15" i="18" s="1"/>
  <c r="AG15" i="18" s="1"/>
  <c r="AH15" i="18" s="1"/>
  <c r="Q20" i="18"/>
  <c r="R25" i="18"/>
  <c r="Q30" i="18"/>
  <c r="Q31" i="18" s="1"/>
  <c r="X23" i="18"/>
  <c r="M74" i="18"/>
  <c r="N3" i="18"/>
  <c r="V48" i="18"/>
  <c r="I3" i="17"/>
  <c r="I74" i="17" s="1"/>
  <c r="M25" i="17"/>
  <c r="O23" i="17"/>
  <c r="F21" i="17"/>
  <c r="J21" i="17"/>
  <c r="F30" i="17"/>
  <c r="F31" i="17" s="1"/>
  <c r="J30" i="17"/>
  <c r="J31" i="17" s="1"/>
  <c r="C34" i="17"/>
  <c r="C75" i="17" s="1"/>
  <c r="K21" i="17"/>
  <c r="S5" i="17"/>
  <c r="J3" i="17"/>
  <c r="L21" i="17"/>
  <c r="M30" i="17"/>
  <c r="N25" i="17"/>
  <c r="M15" i="17"/>
  <c r="D75" i="17"/>
  <c r="D39" i="17"/>
  <c r="D43" i="17" s="1"/>
  <c r="H75" i="17"/>
  <c r="H39" i="17"/>
  <c r="H43" i="17" s="1"/>
  <c r="E21" i="17"/>
  <c r="I21" i="17"/>
  <c r="E75" i="17"/>
  <c r="E39" i="17"/>
  <c r="E43" i="17" s="1"/>
  <c r="I75" i="17"/>
  <c r="I39" i="17"/>
  <c r="I43" i="17" s="1"/>
  <c r="G31" i="17"/>
  <c r="K30" i="17"/>
  <c r="K31" i="17" s="1"/>
  <c r="F34" i="17"/>
  <c r="J34" i="17"/>
  <c r="G21" i="17"/>
  <c r="L30" i="17"/>
  <c r="L31" i="17" s="1"/>
  <c r="G39" i="17"/>
  <c r="G43" i="17" s="1"/>
  <c r="G75" i="17"/>
  <c r="K34" i="17"/>
  <c r="D21" i="17"/>
  <c r="H21" i="17"/>
  <c r="I31" i="17"/>
  <c r="D31" i="17"/>
  <c r="E47" i="17"/>
  <c r="I47" i="17"/>
  <c r="K48" i="17"/>
  <c r="O39" i="15"/>
  <c r="O26" i="15"/>
  <c r="O24" i="15"/>
  <c r="O17" i="15"/>
  <c r="O16" i="15"/>
  <c r="K20" i="15"/>
  <c r="L20" i="15"/>
  <c r="Q74" i="19" l="1"/>
  <c r="R3" i="19"/>
  <c r="W25" i="19"/>
  <c r="V30" i="19"/>
  <c r="V31" i="19" s="1"/>
  <c r="P7" i="19"/>
  <c r="Q7" i="19"/>
  <c r="AB23" i="19"/>
  <c r="AD5" i="19"/>
  <c r="R50" i="19"/>
  <c r="N50" i="18"/>
  <c r="P75" i="18"/>
  <c r="P76" i="18" s="1"/>
  <c r="P39" i="18"/>
  <c r="S25" i="18"/>
  <c r="R30" i="18"/>
  <c r="R31" i="18" s="1"/>
  <c r="O43" i="18"/>
  <c r="O46" i="18"/>
  <c r="P46" i="18" s="1"/>
  <c r="P47" i="18"/>
  <c r="W48" i="18"/>
  <c r="X48" i="18" s="1"/>
  <c r="Y48" i="18" s="1"/>
  <c r="Z48" i="18" s="1"/>
  <c r="AA48" i="18" s="1"/>
  <c r="AB48" i="18" s="1"/>
  <c r="AC48" i="18" s="1"/>
  <c r="AD48" i="18" s="1"/>
  <c r="AE48" i="18" s="1"/>
  <c r="AF48" i="18" s="1"/>
  <c r="AG48" i="18" s="1"/>
  <c r="AH48" i="18" s="1"/>
  <c r="Y5" i="18"/>
  <c r="N74" i="18"/>
  <c r="O3" i="18"/>
  <c r="O77" i="18"/>
  <c r="Y23" i="18"/>
  <c r="Q21" i="18"/>
  <c r="Q34" i="18"/>
  <c r="C39" i="17"/>
  <c r="C43" i="17" s="1"/>
  <c r="L48" i="17"/>
  <c r="L46" i="17" s="1"/>
  <c r="K39" i="17"/>
  <c r="K43" i="17" s="1"/>
  <c r="K75" i="17"/>
  <c r="K76" i="17" s="1"/>
  <c r="F75" i="17"/>
  <c r="F76" i="17" s="1"/>
  <c r="F39" i="17"/>
  <c r="F43" i="17" s="1"/>
  <c r="N30" i="17"/>
  <c r="N31" i="17" s="1"/>
  <c r="O25" i="17"/>
  <c r="L34" i="17"/>
  <c r="M31" i="17"/>
  <c r="J74" i="17"/>
  <c r="K3" i="17"/>
  <c r="T5" i="17"/>
  <c r="M48" i="17"/>
  <c r="E76" i="17"/>
  <c r="E77" i="17" s="1"/>
  <c r="D76" i="17"/>
  <c r="D77" i="17" s="1"/>
  <c r="G76" i="17"/>
  <c r="G77" i="17" s="1"/>
  <c r="J75" i="17"/>
  <c r="J76" i="17" s="1"/>
  <c r="J39" i="17"/>
  <c r="J43" i="17" s="1"/>
  <c r="I76" i="17"/>
  <c r="I77" i="17" s="1"/>
  <c r="H76" i="17"/>
  <c r="H77" i="17" s="1"/>
  <c r="M20" i="17"/>
  <c r="N15" i="17"/>
  <c r="C76" i="17"/>
  <c r="C77" i="17" s="1"/>
  <c r="O20" i="15"/>
  <c r="O29" i="15"/>
  <c r="O28" i="15"/>
  <c r="X25" i="19" l="1"/>
  <c r="W30" i="19"/>
  <c r="W31" i="19" s="1"/>
  <c r="AC23" i="19"/>
  <c r="AE5" i="19"/>
  <c r="R74" i="19"/>
  <c r="S3" i="19"/>
  <c r="O50" i="18"/>
  <c r="O74" i="18"/>
  <c r="P3" i="18"/>
  <c r="O8" i="18"/>
  <c r="Q46" i="18"/>
  <c r="Q47" i="18"/>
  <c r="Z23" i="18"/>
  <c r="Z5" i="18"/>
  <c r="T25" i="18"/>
  <c r="S30" i="18"/>
  <c r="S31" i="18" s="1"/>
  <c r="P77" i="18"/>
  <c r="Q39" i="18"/>
  <c r="Q75" i="18"/>
  <c r="Q76" i="18" s="1"/>
  <c r="P43" i="18"/>
  <c r="P49" i="18" s="1"/>
  <c r="N20" i="17"/>
  <c r="O15" i="17"/>
  <c r="O30" i="17"/>
  <c r="O31" i="17" s="1"/>
  <c r="N48" i="17"/>
  <c r="K74" i="17"/>
  <c r="L3" i="17"/>
  <c r="K77" i="17"/>
  <c r="M34" i="17"/>
  <c r="M21" i="17"/>
  <c r="J77" i="17"/>
  <c r="U5" i="17"/>
  <c r="L75" i="17"/>
  <c r="L39" i="17"/>
  <c r="L43" i="17" s="1"/>
  <c r="F77" i="17"/>
  <c r="P29" i="15"/>
  <c r="P28" i="15"/>
  <c r="O6" i="15"/>
  <c r="S74" i="19" l="1"/>
  <c r="T3" i="19"/>
  <c r="S8" i="19"/>
  <c r="AD23" i="19"/>
  <c r="AF5" i="19"/>
  <c r="Y25" i="19"/>
  <c r="X30" i="19"/>
  <c r="X31" i="19" s="1"/>
  <c r="Q49" i="18"/>
  <c r="P50" i="18"/>
  <c r="P74" i="18"/>
  <c r="Q3" i="18"/>
  <c r="U25" i="18"/>
  <c r="T30" i="18"/>
  <c r="T31" i="18" s="1"/>
  <c r="Q77" i="18"/>
  <c r="AA23" i="18"/>
  <c r="AA5" i="18"/>
  <c r="O7" i="18"/>
  <c r="P8" i="18"/>
  <c r="M75" i="17"/>
  <c r="M76" i="17" s="1"/>
  <c r="M39" i="17"/>
  <c r="M43" i="17" s="1"/>
  <c r="M45" i="17" s="1"/>
  <c r="O48" i="17"/>
  <c r="P48" i="17" s="1"/>
  <c r="Q48" i="17" s="1"/>
  <c r="O20" i="17"/>
  <c r="L76" i="17"/>
  <c r="L77" i="17" s="1"/>
  <c r="V5" i="17"/>
  <c r="N34" i="17"/>
  <c r="N21" i="17"/>
  <c r="L74" i="17"/>
  <c r="M3" i="17"/>
  <c r="M50" i="15"/>
  <c r="L50" i="15"/>
  <c r="K50" i="15"/>
  <c r="J50" i="15"/>
  <c r="I50" i="15"/>
  <c r="H50" i="15"/>
  <c r="G50" i="15"/>
  <c r="F50" i="15"/>
  <c r="E50" i="15"/>
  <c r="D50" i="15"/>
  <c r="C50" i="15"/>
  <c r="G48" i="15"/>
  <c r="F48" i="15"/>
  <c r="E48" i="15"/>
  <c r="D48" i="15"/>
  <c r="L47" i="15"/>
  <c r="K47" i="15"/>
  <c r="H47" i="15"/>
  <c r="G47" i="15"/>
  <c r="D47" i="15"/>
  <c r="L45" i="15"/>
  <c r="I45" i="15"/>
  <c r="J47" i="15" s="1"/>
  <c r="E45" i="15"/>
  <c r="X42" i="15"/>
  <c r="Y42" i="15" s="1"/>
  <c r="Z42" i="15" s="1"/>
  <c r="AA42" i="15" s="1"/>
  <c r="AB42" i="15" s="1"/>
  <c r="AC42" i="15" s="1"/>
  <c r="AD42" i="15" s="1"/>
  <c r="AE42" i="15" s="1"/>
  <c r="AF42" i="15" s="1"/>
  <c r="AG42" i="15" s="1"/>
  <c r="AH42" i="15" s="1"/>
  <c r="W42" i="15"/>
  <c r="V42" i="15"/>
  <c r="U42" i="15"/>
  <c r="T42" i="15"/>
  <c r="S42" i="15"/>
  <c r="R42" i="15"/>
  <c r="Q42" i="15"/>
  <c r="P42" i="15"/>
  <c r="O42" i="15"/>
  <c r="C37" i="15"/>
  <c r="D30" i="15"/>
  <c r="C27" i="15"/>
  <c r="G26" i="15"/>
  <c r="F26" i="15"/>
  <c r="E26" i="15"/>
  <c r="C26" i="15"/>
  <c r="I25" i="15"/>
  <c r="J25" i="15" s="1"/>
  <c r="K25" i="15" s="1"/>
  <c r="L25" i="15" s="1"/>
  <c r="L24" i="15"/>
  <c r="K24" i="15"/>
  <c r="J24" i="15"/>
  <c r="J30" i="15" s="1"/>
  <c r="L23" i="15"/>
  <c r="K23" i="15"/>
  <c r="J23" i="15"/>
  <c r="I23" i="15"/>
  <c r="H23" i="15"/>
  <c r="H30" i="15" s="1"/>
  <c r="G23" i="15"/>
  <c r="F23" i="15"/>
  <c r="E23" i="15"/>
  <c r="C23" i="15"/>
  <c r="J20" i="15"/>
  <c r="I20" i="15"/>
  <c r="H20" i="15"/>
  <c r="G20" i="15"/>
  <c r="F20" i="15"/>
  <c r="E20" i="15"/>
  <c r="D20" i="15"/>
  <c r="C18" i="15"/>
  <c r="C20" i="15" s="1"/>
  <c r="L15" i="15"/>
  <c r="M20" i="15"/>
  <c r="M9" i="15"/>
  <c r="N9" i="15" s="1"/>
  <c r="O9" i="15" s="1"/>
  <c r="P9" i="15" s="1"/>
  <c r="C8" i="15"/>
  <c r="D7" i="15" s="1"/>
  <c r="N7" i="15"/>
  <c r="N6" i="15"/>
  <c r="Q5" i="15"/>
  <c r="D5" i="15"/>
  <c r="E5" i="15" s="1"/>
  <c r="F5" i="15" s="1"/>
  <c r="G5" i="15" s="1"/>
  <c r="H5" i="15" s="1"/>
  <c r="I5" i="15" s="1"/>
  <c r="J5" i="15" s="1"/>
  <c r="K5" i="15" s="1"/>
  <c r="L5" i="15" s="1"/>
  <c r="M6" i="15" s="1"/>
  <c r="G3" i="15"/>
  <c r="G74" i="15" s="1"/>
  <c r="AG42" i="13"/>
  <c r="AH42" i="13"/>
  <c r="Z25" i="19" l="1"/>
  <c r="Y30" i="19"/>
  <c r="Y31" i="19" s="1"/>
  <c r="S7" i="19"/>
  <c r="S20" i="19"/>
  <c r="T8" i="19"/>
  <c r="AG5" i="19"/>
  <c r="T74" i="19"/>
  <c r="U3" i="19"/>
  <c r="AE23" i="19"/>
  <c r="Q50" i="18"/>
  <c r="Q74" i="18"/>
  <c r="R3" i="18"/>
  <c r="P7" i="18"/>
  <c r="AB5" i="18"/>
  <c r="AB23" i="18"/>
  <c r="V25" i="18"/>
  <c r="U30" i="18"/>
  <c r="U31" i="18" s="1"/>
  <c r="N75" i="17"/>
  <c r="N76" i="17" s="1"/>
  <c r="N39" i="17"/>
  <c r="R48" i="17"/>
  <c r="M46" i="17"/>
  <c r="M47" i="17"/>
  <c r="N45" i="17"/>
  <c r="M74" i="17"/>
  <c r="N3" i="17"/>
  <c r="W5" i="17"/>
  <c r="O34" i="17"/>
  <c r="O21" i="17"/>
  <c r="M77" i="17"/>
  <c r="N20" i="15"/>
  <c r="C30" i="15"/>
  <c r="D31" i="15" s="1"/>
  <c r="J21" i="15"/>
  <c r="E30" i="15"/>
  <c r="E31" i="15" s="1"/>
  <c r="K21" i="15"/>
  <c r="C34" i="15"/>
  <c r="L21" i="15"/>
  <c r="F30" i="15"/>
  <c r="F31" i="15" s="1"/>
  <c r="M15" i="15"/>
  <c r="N15" i="15" s="1"/>
  <c r="G30" i="15"/>
  <c r="K30" i="15"/>
  <c r="K34" i="15" s="1"/>
  <c r="D21" i="15"/>
  <c r="M25" i="15"/>
  <c r="N25" i="15" s="1"/>
  <c r="O25" i="15" s="1"/>
  <c r="P25" i="15" s="1"/>
  <c r="R5" i="15"/>
  <c r="C75" i="15"/>
  <c r="C76" i="15" s="1"/>
  <c r="C39" i="15"/>
  <c r="C43" i="15" s="1"/>
  <c r="Q9" i="15"/>
  <c r="R9" i="15" s="1"/>
  <c r="S9" i="15" s="1"/>
  <c r="T9" i="15" s="1"/>
  <c r="U9" i="15" s="1"/>
  <c r="V9" i="15" s="1"/>
  <c r="W9" i="15" s="1"/>
  <c r="X9" i="15" s="1"/>
  <c r="Y9" i="15" s="1"/>
  <c r="Z9" i="15" s="1"/>
  <c r="AA9" i="15" s="1"/>
  <c r="AB9" i="15" s="1"/>
  <c r="AC9" i="15" s="1"/>
  <c r="AD9" i="15" s="1"/>
  <c r="AE9" i="15" s="1"/>
  <c r="AF9" i="15" s="1"/>
  <c r="AG9" i="15" s="1"/>
  <c r="AH9" i="15" s="1"/>
  <c r="O30" i="15"/>
  <c r="H34" i="15"/>
  <c r="H21" i="15"/>
  <c r="H3" i="15"/>
  <c r="F21" i="15"/>
  <c r="E21" i="15"/>
  <c r="I21" i="15"/>
  <c r="N30" i="15"/>
  <c r="D34" i="15"/>
  <c r="J34" i="15"/>
  <c r="G21" i="15"/>
  <c r="L30" i="15"/>
  <c r="I30" i="15"/>
  <c r="I31" i="15" s="1"/>
  <c r="M30" i="15"/>
  <c r="F47" i="15"/>
  <c r="E47" i="15"/>
  <c r="I47" i="15"/>
  <c r="K48" i="15"/>
  <c r="L48" i="15" s="1"/>
  <c r="L46" i="15" s="1"/>
  <c r="AF23" i="19" l="1"/>
  <c r="AH5" i="19"/>
  <c r="S21" i="19"/>
  <c r="S34" i="19"/>
  <c r="U74" i="19"/>
  <c r="V3" i="19"/>
  <c r="T7" i="19"/>
  <c r="T14" i="19"/>
  <c r="T20" i="19" s="1"/>
  <c r="AA25" i="19"/>
  <c r="Z30" i="19"/>
  <c r="Z31" i="19" s="1"/>
  <c r="R74" i="18"/>
  <c r="S3" i="18"/>
  <c r="W25" i="18"/>
  <c r="V30" i="18"/>
  <c r="V31" i="18" s="1"/>
  <c r="AC23" i="18"/>
  <c r="Q7" i="18"/>
  <c r="AC5" i="18"/>
  <c r="S48" i="17"/>
  <c r="O39" i="17"/>
  <c r="O75" i="17"/>
  <c r="N46" i="17"/>
  <c r="N47" i="17"/>
  <c r="O45" i="17"/>
  <c r="X5" i="17"/>
  <c r="N74" i="17"/>
  <c r="O3" i="17"/>
  <c r="N43" i="17"/>
  <c r="N49" i="17" s="1"/>
  <c r="N77" i="17"/>
  <c r="O15" i="15"/>
  <c r="E34" i="15"/>
  <c r="K31" i="15"/>
  <c r="G31" i="15"/>
  <c r="L31" i="15"/>
  <c r="H31" i="15"/>
  <c r="F34" i="15"/>
  <c r="F75" i="15" s="1"/>
  <c r="F76" i="15" s="1"/>
  <c r="N31" i="15"/>
  <c r="G34" i="15"/>
  <c r="Q29" i="15"/>
  <c r="R29" i="15" s="1"/>
  <c r="S29" i="15" s="1"/>
  <c r="T29" i="15" s="1"/>
  <c r="U29" i="15" s="1"/>
  <c r="V29" i="15" s="1"/>
  <c r="W29" i="15" s="1"/>
  <c r="X29" i="15" s="1"/>
  <c r="Y29" i="15" s="1"/>
  <c r="Z29" i="15" s="1"/>
  <c r="AA29" i="15" s="1"/>
  <c r="AB29" i="15" s="1"/>
  <c r="AC29" i="15" s="1"/>
  <c r="AD29" i="15" s="1"/>
  <c r="AE29" i="15" s="1"/>
  <c r="AF29" i="15" s="1"/>
  <c r="AG29" i="15" s="1"/>
  <c r="AH29" i="15" s="1"/>
  <c r="Q26" i="15"/>
  <c r="R26" i="15" s="1"/>
  <c r="S26" i="15" s="1"/>
  <c r="T26" i="15" s="1"/>
  <c r="U26" i="15" s="1"/>
  <c r="V26" i="15" s="1"/>
  <c r="W26" i="15" s="1"/>
  <c r="X26" i="15" s="1"/>
  <c r="Y26" i="15" s="1"/>
  <c r="Z26" i="15" s="1"/>
  <c r="AA26" i="15" s="1"/>
  <c r="AB26" i="15" s="1"/>
  <c r="AC26" i="15" s="1"/>
  <c r="AD26" i="15" s="1"/>
  <c r="AE26" i="15" s="1"/>
  <c r="AF26" i="15" s="1"/>
  <c r="AG26" i="15" s="1"/>
  <c r="AH26" i="15" s="1"/>
  <c r="Q19" i="15"/>
  <c r="R19" i="15" s="1"/>
  <c r="S19" i="15" s="1"/>
  <c r="T19" i="15" s="1"/>
  <c r="U19" i="15" s="1"/>
  <c r="V19" i="15" s="1"/>
  <c r="W19" i="15" s="1"/>
  <c r="X19" i="15" s="1"/>
  <c r="Y19" i="15" s="1"/>
  <c r="Z19" i="15" s="1"/>
  <c r="AA19" i="15" s="1"/>
  <c r="AB19" i="15" s="1"/>
  <c r="AC19" i="15" s="1"/>
  <c r="AD19" i="15" s="1"/>
  <c r="AE19" i="15" s="1"/>
  <c r="AF19" i="15" s="1"/>
  <c r="AG19" i="15" s="1"/>
  <c r="AH19" i="15" s="1"/>
  <c r="H75" i="15"/>
  <c r="H39" i="15"/>
  <c r="H43" i="15" s="1"/>
  <c r="J75" i="15"/>
  <c r="J39" i="15"/>
  <c r="J43" i="15" s="1"/>
  <c r="D75" i="15"/>
  <c r="D76" i="15" s="1"/>
  <c r="D39" i="15"/>
  <c r="D43" i="15" s="1"/>
  <c r="I34" i="15"/>
  <c r="N34" i="15"/>
  <c r="N21" i="15"/>
  <c r="J31" i="15"/>
  <c r="Q25" i="15"/>
  <c r="R25" i="15" s="1"/>
  <c r="S25" i="15" s="1"/>
  <c r="T25" i="15" s="1"/>
  <c r="U25" i="15" s="1"/>
  <c r="V25" i="15" s="1"/>
  <c r="W25" i="15" s="1"/>
  <c r="X25" i="15" s="1"/>
  <c r="Y25" i="15" s="1"/>
  <c r="Z25" i="15" s="1"/>
  <c r="AA25" i="15" s="1"/>
  <c r="AB25" i="15" s="1"/>
  <c r="AC25" i="15" s="1"/>
  <c r="AD25" i="15" s="1"/>
  <c r="AE25" i="15" s="1"/>
  <c r="AF25" i="15" s="1"/>
  <c r="AG25" i="15" s="1"/>
  <c r="AH25" i="15" s="1"/>
  <c r="Q16" i="15"/>
  <c r="R16" i="15" s="1"/>
  <c r="S16" i="15" s="1"/>
  <c r="T16" i="15" s="1"/>
  <c r="U16" i="15" s="1"/>
  <c r="V16" i="15" s="1"/>
  <c r="W16" i="15" s="1"/>
  <c r="X16" i="15" s="1"/>
  <c r="Y16" i="15" s="1"/>
  <c r="Z16" i="15" s="1"/>
  <c r="AA16" i="15" s="1"/>
  <c r="AB16" i="15" s="1"/>
  <c r="AC16" i="15" s="1"/>
  <c r="AD16" i="15" s="1"/>
  <c r="AE16" i="15" s="1"/>
  <c r="AF16" i="15" s="1"/>
  <c r="AG16" i="15" s="1"/>
  <c r="AH16" i="15" s="1"/>
  <c r="M48" i="15"/>
  <c r="Q27" i="15"/>
  <c r="R27" i="15" s="1"/>
  <c r="S27" i="15" s="1"/>
  <c r="T27" i="15" s="1"/>
  <c r="U27" i="15" s="1"/>
  <c r="V27" i="15" s="1"/>
  <c r="W27" i="15" s="1"/>
  <c r="X27" i="15" s="1"/>
  <c r="Y27" i="15" s="1"/>
  <c r="Z27" i="15" s="1"/>
  <c r="AA27" i="15" s="1"/>
  <c r="AB27" i="15" s="1"/>
  <c r="AC27" i="15" s="1"/>
  <c r="AD27" i="15" s="1"/>
  <c r="AE27" i="15" s="1"/>
  <c r="AF27" i="15" s="1"/>
  <c r="AG27" i="15" s="1"/>
  <c r="AH27" i="15" s="1"/>
  <c r="H74" i="15"/>
  <c r="I3" i="15"/>
  <c r="P30" i="15"/>
  <c r="P31" i="15" s="1"/>
  <c r="Q23" i="15"/>
  <c r="M34" i="15"/>
  <c r="M21" i="15"/>
  <c r="K75" i="15"/>
  <c r="K76" i="15" s="1"/>
  <c r="K39" i="15"/>
  <c r="K43" i="15" s="1"/>
  <c r="Q18" i="15"/>
  <c r="R18" i="15" s="1"/>
  <c r="S18" i="15" s="1"/>
  <c r="T18" i="15" s="1"/>
  <c r="U18" i="15" s="1"/>
  <c r="V18" i="15" s="1"/>
  <c r="W18" i="15" s="1"/>
  <c r="X18" i="15" s="1"/>
  <c r="Y18" i="15" s="1"/>
  <c r="Z18" i="15" s="1"/>
  <c r="AA18" i="15" s="1"/>
  <c r="AB18" i="15" s="1"/>
  <c r="AC18" i="15" s="1"/>
  <c r="AD18" i="15" s="1"/>
  <c r="AE18" i="15" s="1"/>
  <c r="AF18" i="15" s="1"/>
  <c r="AG18" i="15" s="1"/>
  <c r="AH18" i="15" s="1"/>
  <c r="S5" i="15"/>
  <c r="N48" i="15"/>
  <c r="M31" i="15"/>
  <c r="Q24" i="15"/>
  <c r="R24" i="15" s="1"/>
  <c r="S24" i="15" s="1"/>
  <c r="T24" i="15" s="1"/>
  <c r="U24" i="15" s="1"/>
  <c r="V24" i="15" s="1"/>
  <c r="W24" i="15" s="1"/>
  <c r="X24" i="15" s="1"/>
  <c r="Y24" i="15" s="1"/>
  <c r="Z24" i="15" s="1"/>
  <c r="AA24" i="15" s="1"/>
  <c r="AB24" i="15" s="1"/>
  <c r="AC24" i="15" s="1"/>
  <c r="AD24" i="15" s="1"/>
  <c r="AE24" i="15" s="1"/>
  <c r="AF24" i="15" s="1"/>
  <c r="AG24" i="15" s="1"/>
  <c r="AH24" i="15" s="1"/>
  <c r="L34" i="15"/>
  <c r="O31" i="15"/>
  <c r="Q28" i="15"/>
  <c r="R28" i="15" s="1"/>
  <c r="S28" i="15" s="1"/>
  <c r="T28" i="15" s="1"/>
  <c r="U28" i="15" s="1"/>
  <c r="V28" i="15" s="1"/>
  <c r="W28" i="15" s="1"/>
  <c r="X28" i="15" s="1"/>
  <c r="Y28" i="15" s="1"/>
  <c r="Z28" i="15" s="1"/>
  <c r="AA28" i="15" s="1"/>
  <c r="AB28" i="15" s="1"/>
  <c r="AC28" i="15" s="1"/>
  <c r="AD28" i="15" s="1"/>
  <c r="AE28" i="15" s="1"/>
  <c r="AF28" i="15" s="1"/>
  <c r="AG28" i="15" s="1"/>
  <c r="AH28" i="15" s="1"/>
  <c r="C77" i="15"/>
  <c r="P18" i="13"/>
  <c r="Q18" i="13" s="1"/>
  <c r="S47" i="19" l="1"/>
  <c r="S46" i="19"/>
  <c r="T41" i="19"/>
  <c r="T45" i="19" s="1"/>
  <c r="U8" i="19"/>
  <c r="AB25" i="19"/>
  <c r="AA30" i="19"/>
  <c r="AA31" i="19" s="1"/>
  <c r="S75" i="19"/>
  <c r="S76" i="19" s="1"/>
  <c r="S39" i="19"/>
  <c r="AG23" i="19"/>
  <c r="T21" i="19"/>
  <c r="T34" i="19"/>
  <c r="V74" i="19"/>
  <c r="W3" i="19"/>
  <c r="R7" i="18"/>
  <c r="R20" i="18"/>
  <c r="S8" i="18"/>
  <c r="X25" i="18"/>
  <c r="W30" i="18"/>
  <c r="W31" i="18" s="1"/>
  <c r="AD5" i="18"/>
  <c r="T3" i="18"/>
  <c r="S74" i="18"/>
  <c r="AD23" i="18"/>
  <c r="Y5" i="17"/>
  <c r="O47" i="17"/>
  <c r="O43" i="17" s="1"/>
  <c r="O49" i="17" s="1"/>
  <c r="O46" i="17"/>
  <c r="N50" i="17"/>
  <c r="T48" i="17"/>
  <c r="U48" i="17" s="1"/>
  <c r="V48" i="17" s="1"/>
  <c r="W48" i="17" s="1"/>
  <c r="X48" i="17" s="1"/>
  <c r="Y48" i="17" s="1"/>
  <c r="Z48" i="17" s="1"/>
  <c r="AA48" i="17" s="1"/>
  <c r="AB48" i="17" s="1"/>
  <c r="AC48" i="17" s="1"/>
  <c r="AD48" i="17" s="1"/>
  <c r="AE48" i="17" s="1"/>
  <c r="AF48" i="17" s="1"/>
  <c r="AG48" i="17" s="1"/>
  <c r="AH48" i="17" s="1"/>
  <c r="O74" i="17"/>
  <c r="P3" i="17"/>
  <c r="O8" i="17"/>
  <c r="O76" i="17"/>
  <c r="O77" i="17" s="1"/>
  <c r="F39" i="15"/>
  <c r="F43" i="15" s="1"/>
  <c r="E75" i="15"/>
  <c r="E39" i="15"/>
  <c r="E43" i="15" s="1"/>
  <c r="P15" i="15"/>
  <c r="Q15" i="15" s="1"/>
  <c r="R15" i="15" s="1"/>
  <c r="S15" i="15" s="1"/>
  <c r="T15" i="15" s="1"/>
  <c r="U15" i="15" s="1"/>
  <c r="V15" i="15" s="1"/>
  <c r="W15" i="15" s="1"/>
  <c r="X15" i="15" s="1"/>
  <c r="Y15" i="15" s="1"/>
  <c r="Z15" i="15" s="1"/>
  <c r="AA15" i="15" s="1"/>
  <c r="AB15" i="15" s="1"/>
  <c r="AC15" i="15" s="1"/>
  <c r="AD15" i="15" s="1"/>
  <c r="AE15" i="15" s="1"/>
  <c r="AF15" i="15" s="1"/>
  <c r="AG15" i="15" s="1"/>
  <c r="AH15" i="15" s="1"/>
  <c r="G75" i="15"/>
  <c r="G76" i="15" s="1"/>
  <c r="G39" i="15"/>
  <c r="G43" i="15" s="1"/>
  <c r="I74" i="15"/>
  <c r="J3" i="15"/>
  <c r="I75" i="15"/>
  <c r="I39" i="15"/>
  <c r="I43" i="15" s="1"/>
  <c r="M75" i="15"/>
  <c r="M76" i="15" s="1"/>
  <c r="M39" i="15"/>
  <c r="M43" i="15" s="1"/>
  <c r="M45" i="15" s="1"/>
  <c r="O48" i="15"/>
  <c r="P48" i="15" s="1"/>
  <c r="N75" i="15"/>
  <c r="N39" i="15"/>
  <c r="L75" i="15"/>
  <c r="L76" i="15" s="1"/>
  <c r="L39" i="15"/>
  <c r="L43" i="15" s="1"/>
  <c r="T5" i="15"/>
  <c r="K77" i="15"/>
  <c r="Q30" i="15"/>
  <c r="Q31" i="15" s="1"/>
  <c r="R23" i="15"/>
  <c r="D77" i="15"/>
  <c r="F77" i="15"/>
  <c r="J76" i="15"/>
  <c r="J77" i="15" s="1"/>
  <c r="H76" i="15"/>
  <c r="H77" i="15" s="1"/>
  <c r="P25" i="13"/>
  <c r="Q25" i="13" s="1"/>
  <c r="R25" i="13" s="1"/>
  <c r="S25" i="13" s="1"/>
  <c r="T25" i="13" s="1"/>
  <c r="U25" i="13" s="1"/>
  <c r="V25" i="13" s="1"/>
  <c r="W25" i="13" s="1"/>
  <c r="X25" i="13" s="1"/>
  <c r="Y25" i="13" s="1"/>
  <c r="Z25" i="13" s="1"/>
  <c r="AA25" i="13" s="1"/>
  <c r="AB25" i="13" s="1"/>
  <c r="AC25" i="13" s="1"/>
  <c r="AD25" i="13" s="1"/>
  <c r="AE25" i="13" s="1"/>
  <c r="AF25" i="13" s="1"/>
  <c r="AG25" i="13" s="1"/>
  <c r="AH25" i="13" s="1"/>
  <c r="S49" i="19" l="1"/>
  <c r="T46" i="19"/>
  <c r="T47" i="19"/>
  <c r="V8" i="19"/>
  <c r="T75" i="19"/>
  <c r="T76" i="19" s="1"/>
  <c r="T36" i="19"/>
  <c r="T39" i="19" s="1"/>
  <c r="W74" i="19"/>
  <c r="X3" i="19"/>
  <c r="S77" i="19"/>
  <c r="AC25" i="19"/>
  <c r="AB30" i="19"/>
  <c r="AB31" i="19" s="1"/>
  <c r="AH23" i="19"/>
  <c r="U7" i="19"/>
  <c r="U14" i="19"/>
  <c r="U20" i="19" s="1"/>
  <c r="U41" i="19" s="1"/>
  <c r="U45" i="19" s="1"/>
  <c r="AE5" i="18"/>
  <c r="S7" i="18"/>
  <c r="S14" i="18"/>
  <c r="S20" i="18" s="1"/>
  <c r="Y25" i="18"/>
  <c r="X30" i="18"/>
  <c r="X31" i="18" s="1"/>
  <c r="R34" i="18"/>
  <c r="R21" i="18"/>
  <c r="R41" i="18"/>
  <c r="R45" i="18" s="1"/>
  <c r="T74" i="18"/>
  <c r="U3" i="18"/>
  <c r="AE23" i="18"/>
  <c r="P47" i="17"/>
  <c r="P46" i="17"/>
  <c r="O50" i="17"/>
  <c r="O7" i="17"/>
  <c r="P8" i="17"/>
  <c r="P74" i="17"/>
  <c r="Q3" i="17"/>
  <c r="Z5" i="17"/>
  <c r="E76" i="15"/>
  <c r="E77" i="15"/>
  <c r="O21" i="15"/>
  <c r="G77" i="15"/>
  <c r="M46" i="15"/>
  <c r="M47" i="15"/>
  <c r="N45" i="15"/>
  <c r="O45" i="15" s="1"/>
  <c r="U5" i="15"/>
  <c r="R30" i="15"/>
  <c r="R31" i="15" s="1"/>
  <c r="S23" i="15"/>
  <c r="Q48" i="15"/>
  <c r="N76" i="15"/>
  <c r="N77" i="15" s="1"/>
  <c r="J74" i="15"/>
  <c r="K3" i="15"/>
  <c r="L77" i="15"/>
  <c r="M77" i="15"/>
  <c r="I76" i="15"/>
  <c r="I77" i="15" s="1"/>
  <c r="AD42" i="13"/>
  <c r="AE42" i="13" s="1"/>
  <c r="AF42" i="13" s="1"/>
  <c r="Y42" i="13"/>
  <c r="Z42" i="13" s="1"/>
  <c r="AA42" i="13" s="1"/>
  <c r="AB42" i="13" s="1"/>
  <c r="AC42" i="13" s="1"/>
  <c r="X42" i="13"/>
  <c r="W42" i="13"/>
  <c r="V42" i="13"/>
  <c r="U42" i="13"/>
  <c r="T42" i="13"/>
  <c r="S42" i="13"/>
  <c r="R42" i="13"/>
  <c r="Q42" i="13"/>
  <c r="P42" i="13"/>
  <c r="O42" i="13"/>
  <c r="T49" i="19" l="1"/>
  <c r="T50" i="19" s="1"/>
  <c r="U46" i="19"/>
  <c r="U47" i="19"/>
  <c r="W8" i="19"/>
  <c r="X74" i="19"/>
  <c r="Y3" i="19"/>
  <c r="T77" i="19"/>
  <c r="U34" i="19"/>
  <c r="U21" i="19"/>
  <c r="AD25" i="19"/>
  <c r="AC30" i="19"/>
  <c r="AC31" i="19" s="1"/>
  <c r="V7" i="19"/>
  <c r="V14" i="19"/>
  <c r="V20" i="19" s="1"/>
  <c r="V41" i="19" s="1"/>
  <c r="V45" i="19" s="1"/>
  <c r="R75" i="18"/>
  <c r="U74" i="18"/>
  <c r="V3" i="18"/>
  <c r="R39" i="18"/>
  <c r="R43" i="18" s="1"/>
  <c r="S34" i="18"/>
  <c r="S21" i="18"/>
  <c r="AF5" i="18"/>
  <c r="AF23" i="18"/>
  <c r="R46" i="18"/>
  <c r="S41" i="18"/>
  <c r="S45" i="18" s="1"/>
  <c r="R47" i="18"/>
  <c r="T8" i="18"/>
  <c r="Z25" i="18"/>
  <c r="Y30" i="18"/>
  <c r="Y31" i="18" s="1"/>
  <c r="AA5" i="17"/>
  <c r="Q74" i="17"/>
  <c r="R3" i="17"/>
  <c r="P7" i="17"/>
  <c r="Q8" i="17"/>
  <c r="O75" i="15"/>
  <c r="O76" i="15" s="1"/>
  <c r="O77" i="15" s="1"/>
  <c r="T23" i="15"/>
  <c r="S30" i="15"/>
  <c r="S31" i="15" s="1"/>
  <c r="K74" i="15"/>
  <c r="L3" i="15"/>
  <c r="V5" i="15"/>
  <c r="R48" i="15"/>
  <c r="N46" i="15"/>
  <c r="N47" i="15"/>
  <c r="N43" i="15" s="1"/>
  <c r="N6" i="13"/>
  <c r="L49" i="14"/>
  <c r="K49" i="14"/>
  <c r="J49" i="14"/>
  <c r="I49" i="14"/>
  <c r="H49" i="14"/>
  <c r="G49" i="14"/>
  <c r="F49" i="14"/>
  <c r="E49" i="14"/>
  <c r="D49" i="14"/>
  <c r="C49" i="14"/>
  <c r="M48" i="14"/>
  <c r="N48" i="14" s="1"/>
  <c r="G47" i="14"/>
  <c r="F47" i="14"/>
  <c r="E47" i="14"/>
  <c r="D47" i="14"/>
  <c r="K46" i="14"/>
  <c r="I46" i="14"/>
  <c r="H46" i="14"/>
  <c r="G46" i="14"/>
  <c r="E46" i="14"/>
  <c r="D46" i="14"/>
  <c r="L44" i="14"/>
  <c r="L46" i="14" s="1"/>
  <c r="I44" i="14"/>
  <c r="J46" i="14" s="1"/>
  <c r="E44" i="14"/>
  <c r="F46" i="14" s="1"/>
  <c r="D39" i="14"/>
  <c r="D42" i="14" s="1"/>
  <c r="C37" i="14"/>
  <c r="I34" i="14"/>
  <c r="H30" i="14"/>
  <c r="H31" i="14" s="1"/>
  <c r="D30" i="14"/>
  <c r="C27" i="14"/>
  <c r="G25" i="14"/>
  <c r="F25" i="14"/>
  <c r="E25" i="14"/>
  <c r="C25" i="14"/>
  <c r="I24" i="14"/>
  <c r="J24" i="14" s="1"/>
  <c r="K24" i="14" s="1"/>
  <c r="L24" i="14" s="1"/>
  <c r="M24" i="14" s="1"/>
  <c r="L23" i="14"/>
  <c r="K23" i="14"/>
  <c r="J23" i="14"/>
  <c r="L22" i="14"/>
  <c r="L30" i="14" s="1"/>
  <c r="L31" i="14" s="1"/>
  <c r="K22" i="14"/>
  <c r="K30" i="14" s="1"/>
  <c r="J22" i="14"/>
  <c r="I22" i="14"/>
  <c r="I30" i="14" s="1"/>
  <c r="H22" i="14"/>
  <c r="G22" i="14"/>
  <c r="G30" i="14" s="1"/>
  <c r="G31" i="14" s="1"/>
  <c r="F22" i="14"/>
  <c r="F30" i="14" s="1"/>
  <c r="E22" i="14"/>
  <c r="E30" i="14" s="1"/>
  <c r="E31" i="14" s="1"/>
  <c r="C22" i="14"/>
  <c r="C30" i="14" s="1"/>
  <c r="F20" i="14"/>
  <c r="K19" i="14"/>
  <c r="K20" i="14" s="1"/>
  <c r="J19" i="14"/>
  <c r="I19" i="14"/>
  <c r="I20" i="14" s="1"/>
  <c r="H19" i="14"/>
  <c r="G19" i="14"/>
  <c r="G20" i="14" s="1"/>
  <c r="F19" i="14"/>
  <c r="F34" i="14" s="1"/>
  <c r="E19" i="14"/>
  <c r="D19" i="14"/>
  <c r="D34" i="14" s="1"/>
  <c r="C19" i="14"/>
  <c r="C34" i="14" s="1"/>
  <c r="C39" i="14" s="1"/>
  <c r="C42" i="14" s="1"/>
  <c r="C18" i="14"/>
  <c r="L15" i="14"/>
  <c r="L19" i="14" s="1"/>
  <c r="O9" i="14"/>
  <c r="O26" i="14" s="1"/>
  <c r="M9" i="14"/>
  <c r="N9" i="14" s="1"/>
  <c r="C8" i="14"/>
  <c r="D7" i="14" s="1"/>
  <c r="N5" i="14"/>
  <c r="O5" i="14" s="1"/>
  <c r="I5" i="14"/>
  <c r="J5" i="14" s="1"/>
  <c r="K5" i="14" s="1"/>
  <c r="L5" i="14" s="1"/>
  <c r="M6" i="14" s="1"/>
  <c r="G5" i="14"/>
  <c r="H5" i="14" s="1"/>
  <c r="E5" i="14"/>
  <c r="F5" i="14" s="1"/>
  <c r="D5" i="14"/>
  <c r="H3" i="14"/>
  <c r="G3" i="14"/>
  <c r="G73" i="14" s="1"/>
  <c r="V46" i="19" l="1"/>
  <c r="V47" i="19"/>
  <c r="X8" i="19"/>
  <c r="U75" i="19"/>
  <c r="U36" i="19"/>
  <c r="U39" i="19" s="1"/>
  <c r="U49" i="19" s="1"/>
  <c r="AE25" i="19"/>
  <c r="AD30" i="19"/>
  <c r="AD31" i="19" s="1"/>
  <c r="V34" i="19"/>
  <c r="V21" i="19"/>
  <c r="Y74" i="19"/>
  <c r="Z3" i="19"/>
  <c r="W7" i="19"/>
  <c r="W14" i="19"/>
  <c r="W20" i="19" s="1"/>
  <c r="W41" i="19" s="1"/>
  <c r="W45" i="19" s="1"/>
  <c r="R76" i="18"/>
  <c r="R77" i="18" s="1"/>
  <c r="R49" i="18"/>
  <c r="R50" i="18" s="1"/>
  <c r="S47" i="18"/>
  <c r="S46" i="18"/>
  <c r="U8" i="18"/>
  <c r="S36" i="18"/>
  <c r="S39" i="18" s="1"/>
  <c r="S75" i="18"/>
  <c r="AA25" i="18"/>
  <c r="Z30" i="18"/>
  <c r="Z31" i="18" s="1"/>
  <c r="AG5" i="18"/>
  <c r="V74" i="18"/>
  <c r="W3" i="18"/>
  <c r="AG23" i="18"/>
  <c r="T7" i="18"/>
  <c r="T14" i="18"/>
  <c r="T20" i="18" s="1"/>
  <c r="Q7" i="17"/>
  <c r="R8" i="17"/>
  <c r="AB5" i="17"/>
  <c r="R74" i="17"/>
  <c r="S3" i="17"/>
  <c r="N49" i="15"/>
  <c r="O47" i="15"/>
  <c r="O43" i="15" s="1"/>
  <c r="O46" i="15"/>
  <c r="S48" i="15"/>
  <c r="T48" i="15"/>
  <c r="L74" i="15"/>
  <c r="M3" i="15"/>
  <c r="W5" i="15"/>
  <c r="T30" i="15"/>
  <c r="T31" i="15" s="1"/>
  <c r="U23" i="15"/>
  <c r="O23" i="14"/>
  <c r="I75" i="14"/>
  <c r="I74" i="14"/>
  <c r="I39" i="14"/>
  <c r="I42" i="14" s="1"/>
  <c r="P5" i="14"/>
  <c r="J20" i="14"/>
  <c r="O25" i="14"/>
  <c r="I31" i="14"/>
  <c r="H73" i="14"/>
  <c r="I3" i="14"/>
  <c r="O18" i="14"/>
  <c r="P9" i="14"/>
  <c r="Q9" i="14" s="1"/>
  <c r="R9" i="14" s="1"/>
  <c r="S9" i="14" s="1"/>
  <c r="T9" i="14" s="1"/>
  <c r="U9" i="14" s="1"/>
  <c r="V9" i="14" s="1"/>
  <c r="W9" i="14" s="1"/>
  <c r="X9" i="14" s="1"/>
  <c r="Y9" i="14" s="1"/>
  <c r="Z9" i="14" s="1"/>
  <c r="AA9" i="14" s="1"/>
  <c r="AB9" i="14" s="1"/>
  <c r="AC9" i="14" s="1"/>
  <c r="AD9" i="14" s="1"/>
  <c r="AE9" i="14" s="1"/>
  <c r="AF9" i="14" s="1"/>
  <c r="AG9" i="14" s="1"/>
  <c r="AH9" i="14" s="1"/>
  <c r="L34" i="14"/>
  <c r="L20" i="14"/>
  <c r="O16" i="14"/>
  <c r="P16" i="14" s="1"/>
  <c r="Q16" i="14" s="1"/>
  <c r="R16" i="14" s="1"/>
  <c r="S16" i="14" s="1"/>
  <c r="T16" i="14" s="1"/>
  <c r="U16" i="14" s="1"/>
  <c r="V16" i="14" s="1"/>
  <c r="W16" i="14" s="1"/>
  <c r="X16" i="14" s="1"/>
  <c r="Y16" i="14" s="1"/>
  <c r="Z16" i="14" s="1"/>
  <c r="AA16" i="14" s="1"/>
  <c r="AB16" i="14" s="1"/>
  <c r="AC16" i="14" s="1"/>
  <c r="AD16" i="14" s="1"/>
  <c r="AE16" i="14" s="1"/>
  <c r="AF16" i="14" s="1"/>
  <c r="AG16" i="14" s="1"/>
  <c r="AH16" i="14" s="1"/>
  <c r="E34" i="14"/>
  <c r="E20" i="14"/>
  <c r="O22" i="14"/>
  <c r="N24" i="14"/>
  <c r="O24" i="14" s="1"/>
  <c r="P24" i="14" s="1"/>
  <c r="Q24" i="14" s="1"/>
  <c r="R24" i="14" s="1"/>
  <c r="S24" i="14" s="1"/>
  <c r="T24" i="14" s="1"/>
  <c r="U24" i="14" s="1"/>
  <c r="V24" i="14" s="1"/>
  <c r="W24" i="14" s="1"/>
  <c r="X24" i="14" s="1"/>
  <c r="Y24" i="14" s="1"/>
  <c r="Z24" i="14" s="1"/>
  <c r="AA24" i="14" s="1"/>
  <c r="AB24" i="14" s="1"/>
  <c r="AC24" i="14" s="1"/>
  <c r="AD24" i="14" s="1"/>
  <c r="AE24" i="14" s="1"/>
  <c r="AF24" i="14" s="1"/>
  <c r="AG24" i="14" s="1"/>
  <c r="AH24" i="14" s="1"/>
  <c r="F74" i="14"/>
  <c r="F75" i="14" s="1"/>
  <c r="F39" i="14"/>
  <c r="F42" i="14" s="1"/>
  <c r="O29" i="14"/>
  <c r="P29" i="14" s="1"/>
  <c r="Q29" i="14" s="1"/>
  <c r="R29" i="14" s="1"/>
  <c r="S29" i="14" s="1"/>
  <c r="T29" i="14" s="1"/>
  <c r="U29" i="14" s="1"/>
  <c r="V29" i="14" s="1"/>
  <c r="W29" i="14" s="1"/>
  <c r="X29" i="14" s="1"/>
  <c r="Y29" i="14" s="1"/>
  <c r="Z29" i="14" s="1"/>
  <c r="AA29" i="14" s="1"/>
  <c r="AB29" i="14" s="1"/>
  <c r="AC29" i="14" s="1"/>
  <c r="AD29" i="14" s="1"/>
  <c r="AE29" i="14" s="1"/>
  <c r="AF29" i="14" s="1"/>
  <c r="AG29" i="14" s="1"/>
  <c r="AH29" i="14" s="1"/>
  <c r="G34" i="14"/>
  <c r="K34" i="14"/>
  <c r="D20" i="14"/>
  <c r="H20" i="14"/>
  <c r="M30" i="14"/>
  <c r="M31" i="14" s="1"/>
  <c r="O28" i="14"/>
  <c r="P28" i="14" s="1"/>
  <c r="Q28" i="14" s="1"/>
  <c r="R28" i="14" s="1"/>
  <c r="S28" i="14" s="1"/>
  <c r="T28" i="14" s="1"/>
  <c r="U28" i="14" s="1"/>
  <c r="V28" i="14" s="1"/>
  <c r="W28" i="14" s="1"/>
  <c r="X28" i="14" s="1"/>
  <c r="Y28" i="14" s="1"/>
  <c r="Z28" i="14" s="1"/>
  <c r="AA28" i="14" s="1"/>
  <c r="AB28" i="14" s="1"/>
  <c r="AC28" i="14" s="1"/>
  <c r="AD28" i="14" s="1"/>
  <c r="AE28" i="14" s="1"/>
  <c r="AF28" i="14" s="1"/>
  <c r="AG28" i="14" s="1"/>
  <c r="AH28" i="14" s="1"/>
  <c r="C74" i="14"/>
  <c r="M15" i="14"/>
  <c r="N15" i="14" s="1"/>
  <c r="O15" i="14" s="1"/>
  <c r="P15" i="14" s="1"/>
  <c r="Q15" i="14" s="1"/>
  <c r="R15" i="14" s="1"/>
  <c r="S15" i="14" s="1"/>
  <c r="T15" i="14" s="1"/>
  <c r="U15" i="14" s="1"/>
  <c r="V15" i="14" s="1"/>
  <c r="W15" i="14" s="1"/>
  <c r="X15" i="14" s="1"/>
  <c r="Y15" i="14" s="1"/>
  <c r="Z15" i="14" s="1"/>
  <c r="AA15" i="14" s="1"/>
  <c r="AB15" i="14" s="1"/>
  <c r="AC15" i="14" s="1"/>
  <c r="AD15" i="14" s="1"/>
  <c r="AE15" i="14" s="1"/>
  <c r="AF15" i="14" s="1"/>
  <c r="AG15" i="14" s="1"/>
  <c r="AH15" i="14" s="1"/>
  <c r="D75" i="14"/>
  <c r="D74" i="14"/>
  <c r="H34" i="14"/>
  <c r="F31" i="14"/>
  <c r="J30" i="14"/>
  <c r="J31" i="14" s="1"/>
  <c r="N30" i="14"/>
  <c r="O27" i="14"/>
  <c r="P27" i="14" s="1"/>
  <c r="Q27" i="14" s="1"/>
  <c r="R27" i="14" s="1"/>
  <c r="S27" i="14" s="1"/>
  <c r="T27" i="14" s="1"/>
  <c r="U27" i="14" s="1"/>
  <c r="V27" i="14" s="1"/>
  <c r="W27" i="14" s="1"/>
  <c r="X27" i="14" s="1"/>
  <c r="Y27" i="14" s="1"/>
  <c r="Z27" i="14" s="1"/>
  <c r="AA27" i="14" s="1"/>
  <c r="AB27" i="14" s="1"/>
  <c r="AC27" i="14" s="1"/>
  <c r="AD27" i="14" s="1"/>
  <c r="AE27" i="14" s="1"/>
  <c r="AF27" i="14" s="1"/>
  <c r="AG27" i="14" s="1"/>
  <c r="AH27" i="14" s="1"/>
  <c r="D31" i="14"/>
  <c r="N49" i="14"/>
  <c r="O48" i="14"/>
  <c r="K47" i="14"/>
  <c r="M49" i="14"/>
  <c r="W47" i="19" l="1"/>
  <c r="W46" i="19"/>
  <c r="Y8" i="19"/>
  <c r="Z74" i="19"/>
  <c r="AA3" i="19"/>
  <c r="U50" i="19"/>
  <c r="AF25" i="19"/>
  <c r="AE30" i="19"/>
  <c r="AE31" i="19" s="1"/>
  <c r="U76" i="19"/>
  <c r="U77" i="19" s="1"/>
  <c r="V75" i="19"/>
  <c r="V36" i="19"/>
  <c r="V39" i="19" s="1"/>
  <c r="V49" i="19" s="1"/>
  <c r="W21" i="19"/>
  <c r="W34" i="19"/>
  <c r="X7" i="19"/>
  <c r="X14" i="19"/>
  <c r="X20" i="19" s="1"/>
  <c r="X41" i="19" s="1"/>
  <c r="X45" i="19" s="1"/>
  <c r="S43" i="18"/>
  <c r="S49" i="18" s="1"/>
  <c r="S50" i="18" s="1"/>
  <c r="AH23" i="18"/>
  <c r="U7" i="18"/>
  <c r="U14" i="18"/>
  <c r="U20" i="18" s="1"/>
  <c r="T34" i="18"/>
  <c r="T21" i="18"/>
  <c r="X3" i="18"/>
  <c r="W74" i="18"/>
  <c r="S76" i="18"/>
  <c r="S77" i="18" s="1"/>
  <c r="T41" i="18"/>
  <c r="T45" i="18" s="1"/>
  <c r="AH5" i="18"/>
  <c r="AB25" i="18"/>
  <c r="AA30" i="18"/>
  <c r="AA31" i="18" s="1"/>
  <c r="R7" i="17"/>
  <c r="R14" i="17"/>
  <c r="S74" i="17"/>
  <c r="T3" i="17"/>
  <c r="AC5" i="17"/>
  <c r="O49" i="15"/>
  <c r="N50" i="15"/>
  <c r="X5" i="15"/>
  <c r="U48" i="15"/>
  <c r="V48" i="15" s="1"/>
  <c r="W48" i="15" s="1"/>
  <c r="X48" i="15" s="1"/>
  <c r="Y48" i="15" s="1"/>
  <c r="Z48" i="15" s="1"/>
  <c r="AA48" i="15" s="1"/>
  <c r="AB48" i="15" s="1"/>
  <c r="AC48" i="15" s="1"/>
  <c r="AD48" i="15" s="1"/>
  <c r="AE48" i="15" s="1"/>
  <c r="AF48" i="15" s="1"/>
  <c r="U30" i="15"/>
  <c r="U31" i="15" s="1"/>
  <c r="V23" i="15"/>
  <c r="M74" i="15"/>
  <c r="N3" i="15"/>
  <c r="K31" i="14"/>
  <c r="L75" i="14"/>
  <c r="L74" i="14"/>
  <c r="L39" i="14"/>
  <c r="L42" i="14" s="1"/>
  <c r="N19" i="14"/>
  <c r="P23" i="14"/>
  <c r="Q23" i="14" s="1"/>
  <c r="R23" i="14" s="1"/>
  <c r="S23" i="14" s="1"/>
  <c r="T23" i="14" s="1"/>
  <c r="U23" i="14" s="1"/>
  <c r="V23" i="14" s="1"/>
  <c r="W23" i="14" s="1"/>
  <c r="X23" i="14" s="1"/>
  <c r="Y23" i="14" s="1"/>
  <c r="Z23" i="14" s="1"/>
  <c r="AA23" i="14" s="1"/>
  <c r="AB23" i="14" s="1"/>
  <c r="AC23" i="14" s="1"/>
  <c r="AD23" i="14" s="1"/>
  <c r="AE23" i="14" s="1"/>
  <c r="AF23" i="14" s="1"/>
  <c r="AG23" i="14" s="1"/>
  <c r="AH23" i="14" s="1"/>
  <c r="G39" i="14"/>
  <c r="G42" i="14" s="1"/>
  <c r="G75" i="14"/>
  <c r="G74" i="14"/>
  <c r="H75" i="14"/>
  <c r="H74" i="14"/>
  <c r="H39" i="14"/>
  <c r="H42" i="14" s="1"/>
  <c r="C75" i="14"/>
  <c r="C76" i="14" s="1"/>
  <c r="J34" i="14"/>
  <c r="E75" i="14"/>
  <c r="E74" i="14"/>
  <c r="E39" i="14"/>
  <c r="E42" i="14" s="1"/>
  <c r="Q5" i="14"/>
  <c r="M19" i="14"/>
  <c r="F76" i="14"/>
  <c r="I73" i="14"/>
  <c r="J3" i="14"/>
  <c r="L47" i="14"/>
  <c r="M47" i="14" s="1"/>
  <c r="P48" i="14"/>
  <c r="O49" i="14"/>
  <c r="N31" i="14"/>
  <c r="D76" i="14"/>
  <c r="K39" i="14"/>
  <c r="K42" i="14" s="1"/>
  <c r="K74" i="14"/>
  <c r="O30" i="14"/>
  <c r="O31" i="14" s="1"/>
  <c r="P22" i="14"/>
  <c r="P18" i="14"/>
  <c r="Q18" i="14" s="1"/>
  <c r="R18" i="14" s="1"/>
  <c r="S18" i="14" s="1"/>
  <c r="T18" i="14" s="1"/>
  <c r="U18" i="14" s="1"/>
  <c r="V18" i="14" s="1"/>
  <c r="W18" i="14" s="1"/>
  <c r="X18" i="14" s="1"/>
  <c r="Y18" i="14" s="1"/>
  <c r="Z18" i="14" s="1"/>
  <c r="AA18" i="14" s="1"/>
  <c r="AB18" i="14" s="1"/>
  <c r="AC18" i="14" s="1"/>
  <c r="AD18" i="14" s="1"/>
  <c r="AE18" i="14" s="1"/>
  <c r="AF18" i="14" s="1"/>
  <c r="AG18" i="14" s="1"/>
  <c r="AH18" i="14" s="1"/>
  <c r="P25" i="14"/>
  <c r="Q25" i="14" s="1"/>
  <c r="R25" i="14" s="1"/>
  <c r="S25" i="14" s="1"/>
  <c r="T25" i="14" s="1"/>
  <c r="U25" i="14" s="1"/>
  <c r="V25" i="14" s="1"/>
  <c r="W25" i="14" s="1"/>
  <c r="X25" i="14" s="1"/>
  <c r="Y25" i="14" s="1"/>
  <c r="Z25" i="14" s="1"/>
  <c r="AA25" i="14" s="1"/>
  <c r="AB25" i="14" s="1"/>
  <c r="AC25" i="14" s="1"/>
  <c r="AD25" i="14" s="1"/>
  <c r="AE25" i="14" s="1"/>
  <c r="AF25" i="14" s="1"/>
  <c r="AG25" i="14" s="1"/>
  <c r="AH25" i="14" s="1"/>
  <c r="I76" i="14"/>
  <c r="P26" i="14"/>
  <c r="Q26" i="14" s="1"/>
  <c r="R26" i="14" s="1"/>
  <c r="S26" i="14" s="1"/>
  <c r="T26" i="14" s="1"/>
  <c r="U26" i="14" s="1"/>
  <c r="V26" i="14" s="1"/>
  <c r="W26" i="14" s="1"/>
  <c r="X26" i="14" s="1"/>
  <c r="Y26" i="14" s="1"/>
  <c r="Z26" i="14" s="1"/>
  <c r="AA26" i="14" s="1"/>
  <c r="AB26" i="14" s="1"/>
  <c r="AC26" i="14" s="1"/>
  <c r="AD26" i="14" s="1"/>
  <c r="AE26" i="14" s="1"/>
  <c r="AF26" i="14" s="1"/>
  <c r="AG26" i="14" s="1"/>
  <c r="AH26" i="14" s="1"/>
  <c r="X46" i="19" l="1"/>
  <c r="X47" i="19"/>
  <c r="Z8" i="19"/>
  <c r="V50" i="19"/>
  <c r="W75" i="19"/>
  <c r="W76" i="19" s="1"/>
  <c r="W36" i="19"/>
  <c r="W39" i="19" s="1"/>
  <c r="W49" i="19" s="1"/>
  <c r="AG25" i="19"/>
  <c r="AF30" i="19"/>
  <c r="AF31" i="19" s="1"/>
  <c r="AA74" i="19"/>
  <c r="AB3" i="19"/>
  <c r="V76" i="19"/>
  <c r="V77" i="19" s="1"/>
  <c r="X21" i="19"/>
  <c r="X34" i="19"/>
  <c r="Y7" i="19"/>
  <c r="Y14" i="19"/>
  <c r="Y20" i="19" s="1"/>
  <c r="Y41" i="19" s="1"/>
  <c r="Y45" i="19" s="1"/>
  <c r="AC25" i="18"/>
  <c r="AB30" i="18"/>
  <c r="AB31" i="18" s="1"/>
  <c r="T75" i="18"/>
  <c r="T76" i="18" s="1"/>
  <c r="T36" i="18"/>
  <c r="T39" i="18" s="1"/>
  <c r="U21" i="18"/>
  <c r="U34" i="18"/>
  <c r="X74" i="18"/>
  <c r="Y3" i="18"/>
  <c r="T46" i="18"/>
  <c r="U41" i="18"/>
  <c r="U45" i="18" s="1"/>
  <c r="V8" i="18"/>
  <c r="T47" i="18"/>
  <c r="T74" i="17"/>
  <c r="U3" i="17"/>
  <c r="AD5" i="17"/>
  <c r="N74" i="15"/>
  <c r="O3" i="15"/>
  <c r="Y5" i="15"/>
  <c r="V30" i="15"/>
  <c r="V31" i="15" s="1"/>
  <c r="W23" i="15"/>
  <c r="P30" i="14"/>
  <c r="P31" i="14" s="1"/>
  <c r="Q22" i="14"/>
  <c r="Q48" i="14"/>
  <c r="P49" i="14"/>
  <c r="M20" i="14"/>
  <c r="M34" i="14"/>
  <c r="J73" i="14"/>
  <c r="K3" i="14"/>
  <c r="E76" i="14"/>
  <c r="N34" i="14"/>
  <c r="N20" i="14"/>
  <c r="N47" i="14"/>
  <c r="K76" i="14"/>
  <c r="R5" i="14"/>
  <c r="K75" i="14"/>
  <c r="L45" i="14"/>
  <c r="J75" i="14"/>
  <c r="J74" i="14"/>
  <c r="J39" i="14"/>
  <c r="J42" i="14" s="1"/>
  <c r="H76" i="14"/>
  <c r="G76" i="14"/>
  <c r="L76" i="14"/>
  <c r="Y46" i="19" l="1"/>
  <c r="Y47" i="19"/>
  <c r="AA8" i="19"/>
  <c r="W50" i="19"/>
  <c r="X75" i="19"/>
  <c r="X76" i="19" s="1"/>
  <c r="X36" i="19"/>
  <c r="X39" i="19" s="1"/>
  <c r="X49" i="19" s="1"/>
  <c r="AB74" i="19"/>
  <c r="AC3" i="19"/>
  <c r="W77" i="19"/>
  <c r="Y34" i="19"/>
  <c r="Y21" i="19"/>
  <c r="AH25" i="19"/>
  <c r="AH30" i="19" s="1"/>
  <c r="AG30" i="19"/>
  <c r="AG31" i="19" s="1"/>
  <c r="Z7" i="19"/>
  <c r="Z14" i="19"/>
  <c r="Z20" i="19" s="1"/>
  <c r="Z41" i="19" s="1"/>
  <c r="Z45" i="19" s="1"/>
  <c r="T43" i="18"/>
  <c r="T49" i="18" s="1"/>
  <c r="U46" i="18"/>
  <c r="U47" i="18"/>
  <c r="W8" i="18"/>
  <c r="T50" i="18"/>
  <c r="V7" i="18"/>
  <c r="V14" i="18"/>
  <c r="V20" i="18" s="1"/>
  <c r="V41" i="18" s="1"/>
  <c r="V45" i="18" s="1"/>
  <c r="Y74" i="18"/>
  <c r="Z3" i="18"/>
  <c r="U75" i="18"/>
  <c r="U76" i="18" s="1"/>
  <c r="U36" i="18"/>
  <c r="U39" i="18" s="1"/>
  <c r="T77" i="18"/>
  <c r="AD25" i="18"/>
  <c r="AC30" i="18"/>
  <c r="AC31" i="18" s="1"/>
  <c r="AE5" i="17"/>
  <c r="U74" i="17"/>
  <c r="V3" i="17"/>
  <c r="Z5" i="15"/>
  <c r="W30" i="15"/>
  <c r="W31" i="15" s="1"/>
  <c r="X23" i="15"/>
  <c r="O74" i="15"/>
  <c r="P3" i="15"/>
  <c r="O8" i="15"/>
  <c r="O47" i="14"/>
  <c r="P47" i="14" s="1"/>
  <c r="M39" i="14"/>
  <c r="M42" i="14" s="1"/>
  <c r="M44" i="14" s="1"/>
  <c r="M74" i="14"/>
  <c r="Q30" i="14"/>
  <c r="Q31" i="14" s="1"/>
  <c r="R22" i="14"/>
  <c r="N74" i="14"/>
  <c r="N75" i="14" s="1"/>
  <c r="N39" i="14"/>
  <c r="N42" i="14" s="1"/>
  <c r="R48" i="14"/>
  <c r="Q49" i="14"/>
  <c r="J76" i="14"/>
  <c r="S5" i="14"/>
  <c r="K73" i="14"/>
  <c r="L3" i="14"/>
  <c r="Z46" i="19" l="1"/>
  <c r="Z47" i="19"/>
  <c r="AB8" i="19"/>
  <c r="X50" i="19"/>
  <c r="Y75" i="19"/>
  <c r="Y76" i="19" s="1"/>
  <c r="Y36" i="19"/>
  <c r="Y39" i="19" s="1"/>
  <c r="Y49" i="19" s="1"/>
  <c r="X77" i="19"/>
  <c r="Z21" i="19"/>
  <c r="Z34" i="19"/>
  <c r="AH31" i="19"/>
  <c r="AC74" i="19"/>
  <c r="AD3" i="19"/>
  <c r="AA7" i="19"/>
  <c r="AA14" i="19"/>
  <c r="AA20" i="19" s="1"/>
  <c r="U43" i="18"/>
  <c r="U49" i="18" s="1"/>
  <c r="V46" i="18"/>
  <c r="V47" i="18"/>
  <c r="X8" i="18"/>
  <c r="U50" i="18"/>
  <c r="Z74" i="18"/>
  <c r="AA3" i="18"/>
  <c r="U77" i="18"/>
  <c r="AE25" i="18"/>
  <c r="AD30" i="18"/>
  <c r="AD31" i="18" s="1"/>
  <c r="V34" i="18"/>
  <c r="V21" i="18"/>
  <c r="W7" i="18"/>
  <c r="W14" i="18"/>
  <c r="W20" i="18" s="1"/>
  <c r="V74" i="17"/>
  <c r="W3" i="17"/>
  <c r="AF5" i="17"/>
  <c r="O7" i="15"/>
  <c r="P8" i="15"/>
  <c r="P74" i="15"/>
  <c r="Q3" i="15"/>
  <c r="X30" i="15"/>
  <c r="X31" i="15" s="1"/>
  <c r="Y23" i="15"/>
  <c r="AA5" i="15"/>
  <c r="Q47" i="14"/>
  <c r="R47" i="14" s="1"/>
  <c r="R49" i="14"/>
  <c r="S48" i="14"/>
  <c r="M75" i="14"/>
  <c r="M76" i="14" s="1"/>
  <c r="L73" i="14"/>
  <c r="M3" i="14"/>
  <c r="T5" i="14"/>
  <c r="N76" i="14"/>
  <c r="R30" i="14"/>
  <c r="R31" i="14" s="1"/>
  <c r="S22" i="14"/>
  <c r="N44" i="14"/>
  <c r="M45" i="14"/>
  <c r="M46" i="14"/>
  <c r="Y50" i="19" l="1"/>
  <c r="AA21" i="19"/>
  <c r="AA34" i="19"/>
  <c r="AA41" i="19"/>
  <c r="AA45" i="19" s="1"/>
  <c r="AD74" i="19"/>
  <c r="AE3" i="19"/>
  <c r="Z75" i="19"/>
  <c r="Z76" i="19" s="1"/>
  <c r="Z36" i="19"/>
  <c r="Z39" i="19" s="1"/>
  <c r="Z49" i="19" s="1"/>
  <c r="Y77" i="19"/>
  <c r="AB7" i="19"/>
  <c r="AB14" i="19"/>
  <c r="AB20" i="19" s="1"/>
  <c r="W34" i="18"/>
  <c r="W21" i="18"/>
  <c r="W41" i="18"/>
  <c r="W45" i="18" s="1"/>
  <c r="AF25" i="18"/>
  <c r="AE30" i="18"/>
  <c r="AE31" i="18" s="1"/>
  <c r="V75" i="18"/>
  <c r="V36" i="18"/>
  <c r="V39" i="18" s="1"/>
  <c r="V43" i="18" s="1"/>
  <c r="V49" i="18" s="1"/>
  <c r="AA74" i="18"/>
  <c r="AB3" i="18"/>
  <c r="X7" i="18"/>
  <c r="X14" i="18"/>
  <c r="X20" i="18" s="1"/>
  <c r="W74" i="17"/>
  <c r="X3" i="17"/>
  <c r="AG5" i="17"/>
  <c r="AB5" i="15"/>
  <c r="Q74" i="15"/>
  <c r="R3" i="15"/>
  <c r="Y30" i="15"/>
  <c r="Y31" i="15" s="1"/>
  <c r="Z23" i="15"/>
  <c r="P7" i="15"/>
  <c r="P20" i="15"/>
  <c r="Q8" i="15"/>
  <c r="S47" i="14"/>
  <c r="T47" i="14" s="1"/>
  <c r="M73" i="14"/>
  <c r="N3" i="14"/>
  <c r="N45" i="14"/>
  <c r="N46" i="14"/>
  <c r="T48" i="14"/>
  <c r="S49" i="14"/>
  <c r="S30" i="14"/>
  <c r="S31" i="14" s="1"/>
  <c r="T22" i="14"/>
  <c r="U5" i="14"/>
  <c r="Z50" i="19" l="1"/>
  <c r="AA75" i="19"/>
  <c r="AA76" i="19" s="1"/>
  <c r="AA36" i="19"/>
  <c r="AA39" i="19" s="1"/>
  <c r="AE74" i="19"/>
  <c r="AF3" i="19"/>
  <c r="AB21" i="19"/>
  <c r="AB34" i="19"/>
  <c r="Z77" i="19"/>
  <c r="AA47" i="19"/>
  <c r="AA46" i="19"/>
  <c r="AB41" i="19"/>
  <c r="AB45" i="19" s="1"/>
  <c r="AC8" i="19"/>
  <c r="V50" i="18"/>
  <c r="AB74" i="18"/>
  <c r="AC3" i="18"/>
  <c r="W47" i="18"/>
  <c r="X41" i="18"/>
  <c r="X45" i="18" s="1"/>
  <c r="Y8" i="18"/>
  <c r="W46" i="18"/>
  <c r="V76" i="18"/>
  <c r="V77" i="18" s="1"/>
  <c r="AG25" i="18"/>
  <c r="AF30" i="18"/>
  <c r="AF31" i="18" s="1"/>
  <c r="X34" i="18"/>
  <c r="X21" i="18"/>
  <c r="W36" i="18"/>
  <c r="W39" i="18" s="1"/>
  <c r="W75" i="18"/>
  <c r="AH5" i="17"/>
  <c r="X74" i="17"/>
  <c r="Y3" i="17"/>
  <c r="P34" i="15"/>
  <c r="P21" i="15"/>
  <c r="P41" i="15"/>
  <c r="P45" i="15" s="1"/>
  <c r="R74" i="15"/>
  <c r="S3" i="15"/>
  <c r="AA23" i="15"/>
  <c r="Z30" i="15"/>
  <c r="Z31" i="15" s="1"/>
  <c r="AC5" i="15"/>
  <c r="Q7" i="15"/>
  <c r="Q14" i="15"/>
  <c r="Q20" i="15" s="1"/>
  <c r="U47" i="14"/>
  <c r="V47" i="14" s="1"/>
  <c r="U48" i="14"/>
  <c r="T49" i="14"/>
  <c r="N73" i="14"/>
  <c r="O3" i="14"/>
  <c r="N8" i="14"/>
  <c r="T30" i="14"/>
  <c r="T31" i="14" s="1"/>
  <c r="U22" i="14"/>
  <c r="V5" i="14"/>
  <c r="AA49" i="19" l="1"/>
  <c r="AA50" i="19" s="1"/>
  <c r="AB46" i="19"/>
  <c r="AB47" i="19"/>
  <c r="AD8" i="19"/>
  <c r="AC7" i="19"/>
  <c r="AC14" i="19"/>
  <c r="AC20" i="19" s="1"/>
  <c r="AC41" i="19" s="1"/>
  <c r="AC45" i="19" s="1"/>
  <c r="AB75" i="19"/>
  <c r="AB36" i="19"/>
  <c r="AB39" i="19" s="1"/>
  <c r="AF74" i="19"/>
  <c r="AG3" i="19"/>
  <c r="AA77" i="19"/>
  <c r="W43" i="18"/>
  <c r="W49" i="18" s="1"/>
  <c r="W50" i="18" s="1"/>
  <c r="X46" i="18"/>
  <c r="X47" i="18"/>
  <c r="Z8" i="18"/>
  <c r="Y7" i="18"/>
  <c r="Y14" i="18"/>
  <c r="Y20" i="18" s="1"/>
  <c r="X75" i="18"/>
  <c r="X76" i="18" s="1"/>
  <c r="X36" i="18"/>
  <c r="X39" i="18" s="1"/>
  <c r="AH25" i="18"/>
  <c r="AH30" i="18" s="1"/>
  <c r="AG30" i="18"/>
  <c r="AG31" i="18" s="1"/>
  <c r="AC74" i="18"/>
  <c r="AD3" i="18"/>
  <c r="W76" i="18"/>
  <c r="W77" i="18" s="1"/>
  <c r="Y74" i="17"/>
  <c r="Z3" i="17"/>
  <c r="Q34" i="15"/>
  <c r="Q36" i="15" s="1"/>
  <c r="Q21" i="15"/>
  <c r="AB23" i="15"/>
  <c r="AA30" i="15"/>
  <c r="AA31" i="15" s="1"/>
  <c r="Q41" i="15"/>
  <c r="Q45" i="15" s="1"/>
  <c r="P47" i="15"/>
  <c r="P46" i="15"/>
  <c r="R8" i="15"/>
  <c r="AD5" i="15"/>
  <c r="S74" i="15"/>
  <c r="T3" i="15"/>
  <c r="P75" i="15"/>
  <c r="P39" i="15"/>
  <c r="W47" i="14"/>
  <c r="X47" i="14" s="1"/>
  <c r="Y47" i="14" s="1"/>
  <c r="Z47" i="14" s="1"/>
  <c r="AA47" i="14" s="1"/>
  <c r="AB47" i="14" s="1"/>
  <c r="AC47" i="14" s="1"/>
  <c r="AD47" i="14" s="1"/>
  <c r="AE47" i="14" s="1"/>
  <c r="AF47" i="14" s="1"/>
  <c r="AG47" i="14" s="1"/>
  <c r="AH47" i="14" s="1"/>
  <c r="W5" i="14"/>
  <c r="O73" i="14"/>
  <c r="P3" i="14"/>
  <c r="U30" i="14"/>
  <c r="U31" i="14" s="1"/>
  <c r="V22" i="14"/>
  <c r="N7" i="14"/>
  <c r="O8" i="14"/>
  <c r="V48" i="14"/>
  <c r="U49" i="14"/>
  <c r="AB49" i="19" l="1"/>
  <c r="AC46" i="19"/>
  <c r="AC47" i="19"/>
  <c r="AE8" i="19"/>
  <c r="AB50" i="19"/>
  <c r="AG74" i="19"/>
  <c r="AH3" i="19"/>
  <c r="AH74" i="19" s="1"/>
  <c r="AB76" i="19"/>
  <c r="AB77" i="19" s="1"/>
  <c r="AC34" i="19"/>
  <c r="AC21" i="19"/>
  <c r="AD7" i="19"/>
  <c r="AD14" i="19"/>
  <c r="AD20" i="19" s="1"/>
  <c r="X43" i="18"/>
  <c r="X49" i="18" s="1"/>
  <c r="X50" i="18" s="1"/>
  <c r="Z7" i="18"/>
  <c r="Z14" i="18"/>
  <c r="Z20" i="18" s="1"/>
  <c r="AD74" i="18"/>
  <c r="AE3" i="18"/>
  <c r="Y21" i="18"/>
  <c r="Y34" i="18"/>
  <c r="AH31" i="18"/>
  <c r="X77" i="18"/>
  <c r="Y41" i="18"/>
  <c r="Y45" i="18" s="1"/>
  <c r="Z74" i="17"/>
  <c r="AA3" i="17"/>
  <c r="P43" i="15"/>
  <c r="P49" i="15" s="1"/>
  <c r="P50" i="15" s="1"/>
  <c r="Q46" i="15"/>
  <c r="S8" i="15"/>
  <c r="P76" i="15"/>
  <c r="P77" i="15" s="1"/>
  <c r="AE5" i="15"/>
  <c r="AB30" i="15"/>
  <c r="AB31" i="15" s="1"/>
  <c r="AC23" i="15"/>
  <c r="T74" i="15"/>
  <c r="U3" i="15"/>
  <c r="R7" i="15"/>
  <c r="R14" i="15"/>
  <c r="R20" i="15" s="1"/>
  <c r="Q75" i="15"/>
  <c r="Q39" i="15"/>
  <c r="O7" i="14"/>
  <c r="O14" i="14"/>
  <c r="O19" i="14" s="1"/>
  <c r="P8" i="14"/>
  <c r="V30" i="14"/>
  <c r="V31" i="14" s="1"/>
  <c r="W22" i="14"/>
  <c r="X5" i="14"/>
  <c r="P73" i="14"/>
  <c r="Q3" i="14"/>
  <c r="V49" i="14"/>
  <c r="W48" i="14"/>
  <c r="AD34" i="19" l="1"/>
  <c r="AD21" i="19"/>
  <c r="AD41" i="19"/>
  <c r="AD45" i="19" s="1"/>
  <c r="AC75" i="19"/>
  <c r="AC76" i="19" s="1"/>
  <c r="AC36" i="19"/>
  <c r="AC39" i="19" s="1"/>
  <c r="AC49" i="19" s="1"/>
  <c r="AE7" i="19"/>
  <c r="AE14" i="19"/>
  <c r="AE20" i="19" s="1"/>
  <c r="Z34" i="18"/>
  <c r="Z21" i="18"/>
  <c r="AE74" i="18"/>
  <c r="AF3" i="18"/>
  <c r="Y46" i="18"/>
  <c r="Z41" i="18"/>
  <c r="Z45" i="18" s="1"/>
  <c r="Y47" i="18"/>
  <c r="AA8" i="18"/>
  <c r="Y75" i="18"/>
  <c r="Y76" i="18" s="1"/>
  <c r="Y36" i="18"/>
  <c r="Y39" i="18" s="1"/>
  <c r="AA74" i="17"/>
  <c r="AB3" i="17"/>
  <c r="Q43" i="15"/>
  <c r="Q50" i="15" s="1"/>
  <c r="U74" i="15"/>
  <c r="V3" i="15"/>
  <c r="AF5" i="15"/>
  <c r="Q76" i="15"/>
  <c r="Q77" i="15" s="1"/>
  <c r="R34" i="15"/>
  <c r="R21" i="15"/>
  <c r="AC30" i="15"/>
  <c r="AC31" i="15" s="1"/>
  <c r="AD23" i="15"/>
  <c r="S7" i="15"/>
  <c r="S14" i="15"/>
  <c r="S20" i="15" s="1"/>
  <c r="R41" i="15"/>
  <c r="R45" i="15" s="1"/>
  <c r="P7" i="14"/>
  <c r="P14" i="14"/>
  <c r="P19" i="14" s="1"/>
  <c r="O34" i="14"/>
  <c r="O20" i="14"/>
  <c r="O41" i="14"/>
  <c r="X48" i="14"/>
  <c r="W49" i="14"/>
  <c r="Y5" i="14"/>
  <c r="Q73" i="14"/>
  <c r="R3" i="14"/>
  <c r="W30" i="14"/>
  <c r="W31" i="14" s="1"/>
  <c r="X22" i="14"/>
  <c r="AC50" i="19" l="1"/>
  <c r="AE41" i="19"/>
  <c r="AE45" i="19" s="1"/>
  <c r="AD47" i="19"/>
  <c r="AF8" i="19"/>
  <c r="AE21" i="19"/>
  <c r="AE34" i="19"/>
  <c r="AC77" i="19"/>
  <c r="AD75" i="19"/>
  <c r="AD36" i="19"/>
  <c r="AD39" i="19" s="1"/>
  <c r="Z46" i="18"/>
  <c r="Z47" i="18"/>
  <c r="AB8" i="18"/>
  <c r="AF74" i="18"/>
  <c r="AG3" i="18"/>
  <c r="Y43" i="18"/>
  <c r="Y49" i="18" s="1"/>
  <c r="Y77" i="18"/>
  <c r="AA7" i="18"/>
  <c r="AA14" i="18"/>
  <c r="AA20" i="18" s="1"/>
  <c r="Z75" i="18"/>
  <c r="Z76" i="18" s="1"/>
  <c r="Z36" i="18"/>
  <c r="Z39" i="18" s="1"/>
  <c r="AB74" i="17"/>
  <c r="AC3" i="17"/>
  <c r="AD30" i="15"/>
  <c r="AD31" i="15" s="1"/>
  <c r="AE23" i="15"/>
  <c r="R46" i="15"/>
  <c r="R47" i="15"/>
  <c r="S41" i="15"/>
  <c r="S45" i="15" s="1"/>
  <c r="T8" i="15"/>
  <c r="AG5" i="15"/>
  <c r="S21" i="15"/>
  <c r="S34" i="15"/>
  <c r="R75" i="15"/>
  <c r="R76" i="15" s="1"/>
  <c r="R36" i="15"/>
  <c r="R39" i="15" s="1"/>
  <c r="V74" i="15"/>
  <c r="W3" i="15"/>
  <c r="R73" i="14"/>
  <c r="S3" i="14"/>
  <c r="O74" i="14"/>
  <c r="O75" i="14" s="1"/>
  <c r="O39" i="14"/>
  <c r="O42" i="14" s="1"/>
  <c r="O44" i="14" s="1"/>
  <c r="Y48" i="14"/>
  <c r="X49" i="14"/>
  <c r="P34" i="14"/>
  <c r="P20" i="14"/>
  <c r="Y22" i="14"/>
  <c r="X30" i="14"/>
  <c r="X31" i="14" s="1"/>
  <c r="Z5" i="14"/>
  <c r="AF7" i="19" l="1"/>
  <c r="AF14" i="19"/>
  <c r="AF20" i="19" s="1"/>
  <c r="AE47" i="19"/>
  <c r="AG8" i="19"/>
  <c r="AD76" i="19"/>
  <c r="AD77" i="19" s="1"/>
  <c r="AE75" i="19"/>
  <c r="AE36" i="19"/>
  <c r="AE39" i="19" s="1"/>
  <c r="Z43" i="18"/>
  <c r="Z49" i="18"/>
  <c r="Y50" i="18"/>
  <c r="AA34" i="18"/>
  <c r="AA21" i="18"/>
  <c r="AG74" i="18"/>
  <c r="AH3" i="18"/>
  <c r="AH74" i="18" s="1"/>
  <c r="AA41" i="18"/>
  <c r="AA45" i="18" s="1"/>
  <c r="Z77" i="18"/>
  <c r="AB7" i="18"/>
  <c r="AB14" i="18"/>
  <c r="AB20" i="18" s="1"/>
  <c r="AC74" i="17"/>
  <c r="AD3" i="17"/>
  <c r="R43" i="15"/>
  <c r="R50" i="15" s="1"/>
  <c r="S47" i="15"/>
  <c r="S46" i="15"/>
  <c r="U8" i="15"/>
  <c r="S75" i="15"/>
  <c r="S76" i="15" s="1"/>
  <c r="S36" i="15"/>
  <c r="S39" i="15" s="1"/>
  <c r="S43" i="15" s="1"/>
  <c r="AE30" i="15"/>
  <c r="AE31" i="15" s="1"/>
  <c r="AF23" i="15"/>
  <c r="T7" i="15"/>
  <c r="T14" i="15"/>
  <c r="T20" i="15" s="1"/>
  <c r="W74" i="15"/>
  <c r="X3" i="15"/>
  <c r="R77" i="15"/>
  <c r="AH5" i="15"/>
  <c r="P74" i="14"/>
  <c r="P39" i="14"/>
  <c r="AA5" i="14"/>
  <c r="Y30" i="14"/>
  <c r="Y31" i="14" s="1"/>
  <c r="Z22" i="14"/>
  <c r="Z48" i="14"/>
  <c r="Y49" i="14"/>
  <c r="S73" i="14"/>
  <c r="T3" i="14"/>
  <c r="O76" i="14"/>
  <c r="O45" i="14"/>
  <c r="O46" i="14"/>
  <c r="P41" i="14"/>
  <c r="Q8" i="14"/>
  <c r="AD49" i="19" l="1"/>
  <c r="AD50" i="19" s="1"/>
  <c r="AD46" i="19"/>
  <c r="AG7" i="19"/>
  <c r="AG14" i="19"/>
  <c r="AG20" i="19" s="1"/>
  <c r="AF21" i="19"/>
  <c r="AF34" i="19"/>
  <c r="AE76" i="19"/>
  <c r="AE77" i="19" s="1"/>
  <c r="AF41" i="19"/>
  <c r="AF45" i="19" s="1"/>
  <c r="AA47" i="18"/>
  <c r="AB41" i="18"/>
  <c r="AB45" i="18" s="1"/>
  <c r="AA46" i="18"/>
  <c r="AC8" i="18"/>
  <c r="AA36" i="18"/>
  <c r="AA39" i="18" s="1"/>
  <c r="AA43" i="18" s="1"/>
  <c r="AA49" i="18" s="1"/>
  <c r="AA75" i="18"/>
  <c r="AA76" i="18" s="1"/>
  <c r="AB34" i="18"/>
  <c r="AB21" i="18"/>
  <c r="Z50" i="18"/>
  <c r="AD74" i="17"/>
  <c r="AE3" i="17"/>
  <c r="S49" i="15"/>
  <c r="S50" i="15" s="1"/>
  <c r="U7" i="15"/>
  <c r="U14" i="15"/>
  <c r="U20" i="15" s="1"/>
  <c r="T21" i="15"/>
  <c r="T34" i="15"/>
  <c r="T41" i="15"/>
  <c r="T45" i="15" s="1"/>
  <c r="X74" i="15"/>
  <c r="Y3" i="15"/>
  <c r="AF30" i="15"/>
  <c r="AF31" i="15" s="1"/>
  <c r="AG23" i="15"/>
  <c r="S77" i="15"/>
  <c r="Z49" i="14"/>
  <c r="AA48" i="14"/>
  <c r="T73" i="14"/>
  <c r="U3" i="14"/>
  <c r="Z30" i="14"/>
  <c r="Z31" i="14" s="1"/>
  <c r="AA22" i="14"/>
  <c r="P42" i="14"/>
  <c r="P44" i="14" s="1"/>
  <c r="Q7" i="14"/>
  <c r="Q14" i="14"/>
  <c r="Q19" i="14" s="1"/>
  <c r="AB5" i="14"/>
  <c r="P75" i="14"/>
  <c r="P76" i="14" s="1"/>
  <c r="AE46" i="19" l="1"/>
  <c r="AE49" i="19"/>
  <c r="AE50" i="19" s="1"/>
  <c r="AG34" i="19"/>
  <c r="AG21" i="19"/>
  <c r="AF75" i="19"/>
  <c r="AF76" i="19" s="1"/>
  <c r="AF36" i="19"/>
  <c r="AF39" i="19" s="1"/>
  <c r="AG41" i="19"/>
  <c r="AH8" i="19"/>
  <c r="AB46" i="18"/>
  <c r="AB47" i="18"/>
  <c r="AD8" i="18"/>
  <c r="AA50" i="18"/>
  <c r="AB75" i="18"/>
  <c r="AB36" i="18"/>
  <c r="AB39" i="18" s="1"/>
  <c r="AB43" i="18" s="1"/>
  <c r="AB49" i="18" s="1"/>
  <c r="AA77" i="18"/>
  <c r="AC7" i="18"/>
  <c r="AC14" i="18"/>
  <c r="AC20" i="18" s="1"/>
  <c r="AC41" i="18" s="1"/>
  <c r="AC45" i="18" s="1"/>
  <c r="AE74" i="17"/>
  <c r="AF3" i="17"/>
  <c r="AG30" i="15"/>
  <c r="AG31" i="15" s="1"/>
  <c r="AH23" i="15"/>
  <c r="AH30" i="15" s="1"/>
  <c r="Y74" i="15"/>
  <c r="Z3" i="15"/>
  <c r="U41" i="15"/>
  <c r="U45" i="15" s="1"/>
  <c r="T46" i="15"/>
  <c r="V8" i="15"/>
  <c r="T47" i="15"/>
  <c r="T75" i="15"/>
  <c r="T36" i="15"/>
  <c r="T39" i="15" s="1"/>
  <c r="U34" i="15"/>
  <c r="U21" i="15"/>
  <c r="P46" i="14"/>
  <c r="Q41" i="14"/>
  <c r="P45" i="14"/>
  <c r="R8" i="14"/>
  <c r="Q20" i="14"/>
  <c r="Q34" i="14"/>
  <c r="AA30" i="14"/>
  <c r="AA31" i="14" s="1"/>
  <c r="AB22" i="14"/>
  <c r="AB48" i="14"/>
  <c r="AA49" i="14"/>
  <c r="AC5" i="14"/>
  <c r="U73" i="14"/>
  <c r="V3" i="14"/>
  <c r="AF49" i="19" l="1"/>
  <c r="AF50" i="19" s="1"/>
  <c r="AF46" i="19"/>
  <c r="AG46" i="19" s="1"/>
  <c r="AH46" i="19" s="1"/>
  <c r="AH7" i="19"/>
  <c r="AH14" i="19"/>
  <c r="AH20" i="19" s="1"/>
  <c r="AF77" i="19"/>
  <c r="AG75" i="19"/>
  <c r="AG36" i="19"/>
  <c r="AG39" i="19" s="1"/>
  <c r="AB50" i="18"/>
  <c r="AC46" i="18"/>
  <c r="AC47" i="18"/>
  <c r="AE8" i="18"/>
  <c r="AC21" i="18"/>
  <c r="AC34" i="18"/>
  <c r="AB76" i="18"/>
  <c r="AB77" i="18" s="1"/>
  <c r="AD7" i="18"/>
  <c r="AD14" i="18"/>
  <c r="AD20" i="18" s="1"/>
  <c r="AF74" i="17"/>
  <c r="AG3" i="17"/>
  <c r="T43" i="15"/>
  <c r="T49" i="15" s="1"/>
  <c r="T50" i="15" s="1"/>
  <c r="AH31" i="15"/>
  <c r="U46" i="15"/>
  <c r="W8" i="15"/>
  <c r="U47" i="15"/>
  <c r="Z74" i="15"/>
  <c r="AA3" i="15"/>
  <c r="U75" i="15"/>
  <c r="U36" i="15"/>
  <c r="U39" i="15" s="1"/>
  <c r="U43" i="15" s="1"/>
  <c r="U49" i="15" s="1"/>
  <c r="V7" i="15"/>
  <c r="V14" i="15"/>
  <c r="V20" i="15" s="1"/>
  <c r="T76" i="15"/>
  <c r="T77" i="15" s="1"/>
  <c r="V73" i="14"/>
  <c r="W3" i="14"/>
  <c r="AC48" i="14"/>
  <c r="AB49" i="14"/>
  <c r="Q39" i="14"/>
  <c r="Q42" i="14" s="1"/>
  <c r="Q44" i="14" s="1"/>
  <c r="Q74" i="14"/>
  <c r="Q75" i="14" s="1"/>
  <c r="AD5" i="14"/>
  <c r="AC22" i="14"/>
  <c r="AB30" i="14"/>
  <c r="AB31" i="14" s="1"/>
  <c r="R7" i="14"/>
  <c r="R14" i="14"/>
  <c r="R19" i="14" s="1"/>
  <c r="AG49" i="19" l="1"/>
  <c r="AG50" i="19" s="1"/>
  <c r="AG76" i="19"/>
  <c r="AG77" i="19" s="1"/>
  <c r="AH21" i="19"/>
  <c r="AH34" i="19"/>
  <c r="AH41" i="19"/>
  <c r="AE7" i="18"/>
  <c r="AE14" i="18"/>
  <c r="AE20" i="18" s="1"/>
  <c r="AD34" i="18"/>
  <c r="AD21" i="18"/>
  <c r="AC75" i="18"/>
  <c r="AC36" i="18"/>
  <c r="AC39" i="18" s="1"/>
  <c r="AC43" i="18" s="1"/>
  <c r="AC49" i="18" s="1"/>
  <c r="AD41" i="18"/>
  <c r="AD45" i="18" s="1"/>
  <c r="AG74" i="17"/>
  <c r="AH3" i="17"/>
  <c r="AH74" i="17" s="1"/>
  <c r="U50" i="15"/>
  <c r="V34" i="15"/>
  <c r="V21" i="15"/>
  <c r="V41" i="15"/>
  <c r="V45" i="15" s="1"/>
  <c r="U76" i="15"/>
  <c r="U77" i="15" s="1"/>
  <c r="AA74" i="15"/>
  <c r="AB3" i="15"/>
  <c r="W7" i="15"/>
  <c r="W14" i="15"/>
  <c r="W20" i="15" s="1"/>
  <c r="AC30" i="14"/>
  <c r="AC31" i="14" s="1"/>
  <c r="AD22" i="14"/>
  <c r="W73" i="14"/>
  <c r="X3" i="14"/>
  <c r="Q76" i="14"/>
  <c r="AD48" i="14"/>
  <c r="AC49" i="14"/>
  <c r="R34" i="14"/>
  <c r="R20" i="14"/>
  <c r="AE5" i="14"/>
  <c r="R41" i="14"/>
  <c r="Q45" i="14"/>
  <c r="Q46" i="14"/>
  <c r="S8" i="14"/>
  <c r="AH75" i="19" l="1"/>
  <c r="AH36" i="19"/>
  <c r="AH39" i="19" s="1"/>
  <c r="AH49" i="19" s="1"/>
  <c r="AH50" i="19" s="1"/>
  <c r="AC50" i="18"/>
  <c r="AC76" i="18"/>
  <c r="AC77" i="18" s="1"/>
  <c r="AE34" i="18"/>
  <c r="AE21" i="18"/>
  <c r="AD75" i="18"/>
  <c r="AD36" i="18"/>
  <c r="AD39" i="18" s="1"/>
  <c r="AD46" i="18"/>
  <c r="AE41" i="18"/>
  <c r="AE45" i="18" s="1"/>
  <c r="AD47" i="18"/>
  <c r="AF8" i="18"/>
  <c r="W34" i="15"/>
  <c r="W21" i="15"/>
  <c r="V75" i="15"/>
  <c r="V76" i="15" s="1"/>
  <c r="V36" i="15"/>
  <c r="V39" i="15" s="1"/>
  <c r="AB74" i="15"/>
  <c r="AC3" i="15"/>
  <c r="V46" i="15"/>
  <c r="V47" i="15"/>
  <c r="W41" i="15"/>
  <c r="W45" i="15" s="1"/>
  <c r="X8" i="15"/>
  <c r="S7" i="14"/>
  <c r="S14" i="14"/>
  <c r="S19" i="14" s="1"/>
  <c r="R74" i="14"/>
  <c r="R39" i="14"/>
  <c r="R42" i="14" s="1"/>
  <c r="R44" i="14" s="1"/>
  <c r="X73" i="14"/>
  <c r="Y3" i="14"/>
  <c r="AF5" i="14"/>
  <c r="AD49" i="14"/>
  <c r="AE48" i="14"/>
  <c r="AD30" i="14"/>
  <c r="AD31" i="14" s="1"/>
  <c r="AE22" i="14"/>
  <c r="AH76" i="19" l="1"/>
  <c r="AH77" i="19" s="1"/>
  <c r="AD43" i="18"/>
  <c r="AD49" i="18" s="1"/>
  <c r="AD50" i="18" s="1"/>
  <c r="AD76" i="18"/>
  <c r="AD77" i="18" s="1"/>
  <c r="AE47" i="18"/>
  <c r="AE46" i="18"/>
  <c r="AG8" i="18"/>
  <c r="AF7" i="18"/>
  <c r="AF14" i="18"/>
  <c r="AF20" i="18" s="1"/>
  <c r="AF41" i="18" s="1"/>
  <c r="AF45" i="18" s="1"/>
  <c r="AE75" i="18"/>
  <c r="AE36" i="18"/>
  <c r="AE39" i="18" s="1"/>
  <c r="V43" i="15"/>
  <c r="V49" i="15" s="1"/>
  <c r="V50" i="15" s="1"/>
  <c r="W47" i="15"/>
  <c r="W46" i="15"/>
  <c r="Y8" i="15"/>
  <c r="AC74" i="15"/>
  <c r="AD3" i="15"/>
  <c r="V77" i="15"/>
  <c r="X7" i="15"/>
  <c r="X14" i="15"/>
  <c r="X20" i="15" s="1"/>
  <c r="W75" i="15"/>
  <c r="W36" i="15"/>
  <c r="W39" i="15" s="1"/>
  <c r="Y73" i="14"/>
  <c r="Z3" i="14"/>
  <c r="S34" i="14"/>
  <c r="S20" i="14"/>
  <c r="AF48" i="14"/>
  <c r="AE49" i="14"/>
  <c r="R75" i="14"/>
  <c r="R76" i="14" s="1"/>
  <c r="AE30" i="14"/>
  <c r="AE31" i="14" s="1"/>
  <c r="AF22" i="14"/>
  <c r="AG5" i="14"/>
  <c r="S41" i="14"/>
  <c r="R45" i="14"/>
  <c r="R46" i="14"/>
  <c r="T8" i="14"/>
  <c r="AE43" i="18" l="1"/>
  <c r="AE49" i="18" s="1"/>
  <c r="AE50" i="18" s="1"/>
  <c r="AG47" i="18"/>
  <c r="AH8" i="18"/>
  <c r="AF47" i="18"/>
  <c r="AF34" i="18"/>
  <c r="AF21" i="18"/>
  <c r="AE76" i="18"/>
  <c r="AE77" i="18" s="1"/>
  <c r="AG7" i="18"/>
  <c r="AG14" i="18"/>
  <c r="AG20" i="18" s="1"/>
  <c r="AG41" i="18" s="1"/>
  <c r="W43" i="15"/>
  <c r="W49" i="15" s="1"/>
  <c r="W50" i="15" s="1"/>
  <c r="X34" i="15"/>
  <c r="X21" i="15"/>
  <c r="Y7" i="15"/>
  <c r="Y14" i="15"/>
  <c r="Y20" i="15" s="1"/>
  <c r="W76" i="15"/>
  <c r="W77" i="15" s="1"/>
  <c r="AD74" i="15"/>
  <c r="AE3" i="15"/>
  <c r="X41" i="15"/>
  <c r="X45" i="15" s="1"/>
  <c r="S39" i="14"/>
  <c r="S42" i="14" s="1"/>
  <c r="S44" i="14" s="1"/>
  <c r="S74" i="14"/>
  <c r="S75" i="14" s="1"/>
  <c r="AG22" i="14"/>
  <c r="AF30" i="14"/>
  <c r="AF31" i="14" s="1"/>
  <c r="AG48" i="14"/>
  <c r="AF49" i="14"/>
  <c r="Z73" i="14"/>
  <c r="AA3" i="14"/>
  <c r="AH5" i="14"/>
  <c r="T7" i="14"/>
  <c r="T14" i="14"/>
  <c r="T19" i="14" s="1"/>
  <c r="AH7" i="18" l="1"/>
  <c r="AH14" i="18"/>
  <c r="AH20" i="18" s="1"/>
  <c r="AG21" i="18"/>
  <c r="AG34" i="18"/>
  <c r="AF75" i="18"/>
  <c r="AF76" i="18" s="1"/>
  <c r="AF36" i="18"/>
  <c r="AF39" i="18" s="1"/>
  <c r="AF43" i="18" s="1"/>
  <c r="Y34" i="15"/>
  <c r="Y21" i="15"/>
  <c r="Y41" i="15"/>
  <c r="Y45" i="15" s="1"/>
  <c r="X47" i="15"/>
  <c r="X46" i="15"/>
  <c r="Z8" i="15"/>
  <c r="X75" i="15"/>
  <c r="X76" i="15" s="1"/>
  <c r="X36" i="15"/>
  <c r="X39" i="15" s="1"/>
  <c r="AE74" i="15"/>
  <c r="AF3" i="15"/>
  <c r="AH48" i="14"/>
  <c r="AH49" i="14" s="1"/>
  <c r="AG49" i="14"/>
  <c r="S76" i="14"/>
  <c r="AG30" i="14"/>
  <c r="AG31" i="14" s="1"/>
  <c r="AH22" i="14"/>
  <c r="AH30" i="14" s="1"/>
  <c r="T34" i="14"/>
  <c r="T20" i="14"/>
  <c r="AA73" i="14"/>
  <c r="AB3" i="14"/>
  <c r="S45" i="14"/>
  <c r="S46" i="14"/>
  <c r="T41" i="14"/>
  <c r="U8" i="14"/>
  <c r="AF49" i="18" l="1"/>
  <c r="AF50" i="18" s="1"/>
  <c r="AF46" i="18"/>
  <c r="AG46" i="18" s="1"/>
  <c r="AH46" i="18" s="1"/>
  <c r="AF77" i="18"/>
  <c r="AG75" i="18"/>
  <c r="AG36" i="18"/>
  <c r="AG39" i="18" s="1"/>
  <c r="AG43" i="18" s="1"/>
  <c r="AG49" i="18" s="1"/>
  <c r="AH34" i="18"/>
  <c r="AH21" i="18"/>
  <c r="AH41" i="18"/>
  <c r="X43" i="15"/>
  <c r="X49" i="15" s="1"/>
  <c r="Y46" i="15"/>
  <c r="Y47" i="15"/>
  <c r="AA8" i="15"/>
  <c r="X50" i="15"/>
  <c r="Z7" i="15"/>
  <c r="Z14" i="15"/>
  <c r="Z20" i="15" s="1"/>
  <c r="AF74" i="15"/>
  <c r="AG3" i="15"/>
  <c r="X77" i="15"/>
  <c r="Y75" i="15"/>
  <c r="Y36" i="15"/>
  <c r="Y39" i="15" s="1"/>
  <c r="AH31" i="14"/>
  <c r="T74" i="14"/>
  <c r="T75" i="14" s="1"/>
  <c r="T39" i="14"/>
  <c r="T42" i="14" s="1"/>
  <c r="T44" i="14" s="1"/>
  <c r="U7" i="14"/>
  <c r="U14" i="14"/>
  <c r="U19" i="14" s="1"/>
  <c r="AB73" i="14"/>
  <c r="AC3" i="14"/>
  <c r="AG50" i="18" l="1"/>
  <c r="AH75" i="18"/>
  <c r="AH76" i="18" s="1"/>
  <c r="AH36" i="18"/>
  <c r="AH39" i="18" s="1"/>
  <c r="AH43" i="18" s="1"/>
  <c r="AH49" i="18" s="1"/>
  <c r="AH50" i="18" s="1"/>
  <c r="AG76" i="18"/>
  <c r="AG77" i="18" s="1"/>
  <c r="Y43" i="15"/>
  <c r="Y49" i="15" s="1"/>
  <c r="Y50" i="15" s="1"/>
  <c r="AG74" i="15"/>
  <c r="AH3" i="15"/>
  <c r="AH74" i="15" s="1"/>
  <c r="Y76" i="15"/>
  <c r="Y77" i="15" s="1"/>
  <c r="Z34" i="15"/>
  <c r="Z21" i="15"/>
  <c r="AA7" i="15"/>
  <c r="AA14" i="15"/>
  <c r="AA20" i="15" s="1"/>
  <c r="Z41" i="15"/>
  <c r="Z45" i="15" s="1"/>
  <c r="U34" i="14"/>
  <c r="U20" i="14"/>
  <c r="AC73" i="14"/>
  <c r="AD3" i="14"/>
  <c r="T46" i="14"/>
  <c r="U41" i="14"/>
  <c r="T45" i="14"/>
  <c r="V8" i="14"/>
  <c r="T76" i="14"/>
  <c r="AH77" i="18" l="1"/>
  <c r="Z46" i="15"/>
  <c r="Z47" i="15"/>
  <c r="AA41" i="15"/>
  <c r="AA45" i="15" s="1"/>
  <c r="AB8" i="15"/>
  <c r="Z75" i="15"/>
  <c r="Z36" i="15"/>
  <c r="Z39" i="15" s="1"/>
  <c r="Z43" i="15" s="1"/>
  <c r="Z49" i="15" s="1"/>
  <c r="AA21" i="15"/>
  <c r="AA34" i="15"/>
  <c r="AD73" i="14"/>
  <c r="AE3" i="14"/>
  <c r="V7" i="14"/>
  <c r="V14" i="14"/>
  <c r="V19" i="14" s="1"/>
  <c r="U39" i="14"/>
  <c r="U42" i="14" s="1"/>
  <c r="U44" i="14" s="1"/>
  <c r="U74" i="14"/>
  <c r="AA47" i="15" l="1"/>
  <c r="AA46" i="15"/>
  <c r="AC8" i="15"/>
  <c r="Z50" i="15"/>
  <c r="AA75" i="15"/>
  <c r="AA76" i="15" s="1"/>
  <c r="AA36" i="15"/>
  <c r="AA39" i="15" s="1"/>
  <c r="AA43" i="15" s="1"/>
  <c r="AA49" i="15" s="1"/>
  <c r="Z76" i="15"/>
  <c r="Z77" i="15" s="1"/>
  <c r="AB7" i="15"/>
  <c r="AB14" i="15"/>
  <c r="AB20" i="15" s="1"/>
  <c r="U75" i="14"/>
  <c r="U76" i="14" s="1"/>
  <c r="AE73" i="14"/>
  <c r="AF3" i="14"/>
  <c r="V34" i="14"/>
  <c r="V20" i="14"/>
  <c r="V41" i="14"/>
  <c r="U45" i="14"/>
  <c r="U46" i="14"/>
  <c r="W8" i="14"/>
  <c r="AA50" i="15" l="1"/>
  <c r="AB21" i="15"/>
  <c r="AB34" i="15"/>
  <c r="AC7" i="15"/>
  <c r="AC14" i="15"/>
  <c r="AC20" i="15" s="1"/>
  <c r="AA77" i="15"/>
  <c r="AB41" i="15"/>
  <c r="AB45" i="15" s="1"/>
  <c r="AF73" i="14"/>
  <c r="AG3" i="14"/>
  <c r="W7" i="14"/>
  <c r="W14" i="14"/>
  <c r="W19" i="14" s="1"/>
  <c r="V74" i="14"/>
  <c r="V39" i="14"/>
  <c r="V42" i="14" s="1"/>
  <c r="V44" i="14" s="1"/>
  <c r="AC41" i="15" l="1"/>
  <c r="AC45" i="15" s="1"/>
  <c r="AB46" i="15"/>
  <c r="AB47" i="15"/>
  <c r="AD8" i="15"/>
  <c r="AC34" i="15"/>
  <c r="AC21" i="15"/>
  <c r="AB75" i="15"/>
  <c r="AB76" i="15" s="1"/>
  <c r="AB36" i="15"/>
  <c r="AB39" i="15" s="1"/>
  <c r="W41" i="14"/>
  <c r="V45" i="14"/>
  <c r="V46" i="14"/>
  <c r="X8" i="14"/>
  <c r="AG73" i="14"/>
  <c r="AH3" i="14"/>
  <c r="AH73" i="14" s="1"/>
  <c r="W34" i="14"/>
  <c r="W20" i="14"/>
  <c r="V75" i="14"/>
  <c r="V76" i="14" s="1"/>
  <c r="AB43" i="15" l="1"/>
  <c r="AB49" i="15" s="1"/>
  <c r="AB50" i="15" s="1"/>
  <c r="AC46" i="15"/>
  <c r="AC47" i="15"/>
  <c r="AE8" i="15"/>
  <c r="AC75" i="15"/>
  <c r="AC76" i="15" s="1"/>
  <c r="AC36" i="15"/>
  <c r="AC39" i="15" s="1"/>
  <c r="AB77" i="15"/>
  <c r="AD7" i="15"/>
  <c r="AD14" i="15"/>
  <c r="AD20" i="15" s="1"/>
  <c r="W74" i="14"/>
  <c r="W39" i="14"/>
  <c r="W42" i="14" s="1"/>
  <c r="W44" i="14" s="1"/>
  <c r="X7" i="14"/>
  <c r="X14" i="14"/>
  <c r="X19" i="14" s="1"/>
  <c r="AC43" i="15" l="1"/>
  <c r="AC49" i="15" s="1"/>
  <c r="AC50" i="15" s="1"/>
  <c r="AD34" i="15"/>
  <c r="AD21" i="15"/>
  <c r="AE7" i="15"/>
  <c r="AE14" i="15"/>
  <c r="AE20" i="15" s="1"/>
  <c r="AD41" i="15"/>
  <c r="AD45" i="15" s="1"/>
  <c r="AC77" i="15"/>
  <c r="W45" i="14"/>
  <c r="W46" i="14"/>
  <c r="X41" i="14"/>
  <c r="Y8" i="14"/>
  <c r="X34" i="14"/>
  <c r="X20" i="14"/>
  <c r="W75" i="14"/>
  <c r="W76" i="14" s="1"/>
  <c r="AE34" i="15" l="1"/>
  <c r="AE21" i="15"/>
  <c r="AD46" i="15"/>
  <c r="AD47" i="15"/>
  <c r="AE41" i="15"/>
  <c r="AE45" i="15" s="1"/>
  <c r="AF8" i="15"/>
  <c r="AD75" i="15"/>
  <c r="AD76" i="15" s="1"/>
  <c r="AD36" i="15"/>
  <c r="AD39" i="15" s="1"/>
  <c r="AD43" i="15" s="1"/>
  <c r="AD49" i="15" s="1"/>
  <c r="X74" i="14"/>
  <c r="X39" i="14"/>
  <c r="X42" i="14" s="1"/>
  <c r="X44" i="14" s="1"/>
  <c r="Y7" i="14"/>
  <c r="Y14" i="14"/>
  <c r="Y19" i="14" s="1"/>
  <c r="AD50" i="15" l="1"/>
  <c r="AE47" i="15"/>
  <c r="AE46" i="15"/>
  <c r="AG8" i="15"/>
  <c r="AF7" i="15"/>
  <c r="AF14" i="15"/>
  <c r="AF20" i="15" s="1"/>
  <c r="AD77" i="15"/>
  <c r="AE75" i="15"/>
  <c r="AE36" i="15"/>
  <c r="AE39" i="15" s="1"/>
  <c r="X46" i="14"/>
  <c r="Y41" i="14"/>
  <c r="X45" i="14"/>
  <c r="Z8" i="14"/>
  <c r="Y20" i="14"/>
  <c r="Y34" i="14"/>
  <c r="X75" i="14"/>
  <c r="X76" i="14" s="1"/>
  <c r="AE43" i="15" l="1"/>
  <c r="AE49" i="15" s="1"/>
  <c r="AE50" i="15" s="1"/>
  <c r="AE76" i="15"/>
  <c r="AE77" i="15" s="1"/>
  <c r="AG7" i="15"/>
  <c r="AG14" i="15"/>
  <c r="AG20" i="15" s="1"/>
  <c r="AF34" i="15"/>
  <c r="AF21" i="15"/>
  <c r="AF41" i="15"/>
  <c r="AF45" i="15" s="1"/>
  <c r="Y39" i="14"/>
  <c r="Y42" i="14" s="1"/>
  <c r="Y44" i="14" s="1"/>
  <c r="Y74" i="14"/>
  <c r="Z7" i="14"/>
  <c r="Z14" i="14"/>
  <c r="Z19" i="14" s="1"/>
  <c r="AG34" i="15" l="1"/>
  <c r="AG21" i="15"/>
  <c r="AF75" i="15"/>
  <c r="AF36" i="15"/>
  <c r="AF39" i="15" s="1"/>
  <c r="AG41" i="15"/>
  <c r="AG45" i="15" s="1"/>
  <c r="AF47" i="15"/>
  <c r="AH8" i="15"/>
  <c r="Y75" i="14"/>
  <c r="Y76" i="14" s="1"/>
  <c r="Z34" i="14"/>
  <c r="Z20" i="14"/>
  <c r="Z41" i="14"/>
  <c r="Y45" i="14"/>
  <c r="Y46" i="14"/>
  <c r="AA8" i="14"/>
  <c r="AF43" i="15" l="1"/>
  <c r="AG47" i="15"/>
  <c r="AH7" i="15"/>
  <c r="AH14" i="15"/>
  <c r="AH20" i="15" s="1"/>
  <c r="AH41" i="15" s="1"/>
  <c r="AH45" i="15" s="1"/>
  <c r="AF76" i="15"/>
  <c r="AF77" i="15" s="1"/>
  <c r="AG75" i="15"/>
  <c r="AG36" i="15"/>
  <c r="AG39" i="15" s="1"/>
  <c r="Z74" i="14"/>
  <c r="Z39" i="14"/>
  <c r="Z42" i="14" s="1"/>
  <c r="Z44" i="14" s="1"/>
  <c r="AA7" i="14"/>
  <c r="AA14" i="14"/>
  <c r="AA19" i="14" s="1"/>
  <c r="AF49" i="15" l="1"/>
  <c r="AF50" i="15" s="1"/>
  <c r="AF46" i="15"/>
  <c r="AG43" i="15"/>
  <c r="AH47" i="15"/>
  <c r="AG76" i="15"/>
  <c r="AG77" i="15" s="1"/>
  <c r="AH34" i="15"/>
  <c r="AH21" i="15"/>
  <c r="AA41" i="14"/>
  <c r="Z45" i="14"/>
  <c r="Z46" i="14"/>
  <c r="AB8" i="14"/>
  <c r="AA34" i="14"/>
  <c r="AA20" i="14"/>
  <c r="Z75" i="14"/>
  <c r="Z76" i="14" s="1"/>
  <c r="AG46" i="15" l="1"/>
  <c r="AG49" i="15"/>
  <c r="AG50" i="15" s="1"/>
  <c r="AH75" i="15"/>
  <c r="AH36" i="15"/>
  <c r="AH39" i="15" s="1"/>
  <c r="AH43" i="15" s="1"/>
  <c r="AB7" i="14"/>
  <c r="AB14" i="14"/>
  <c r="AB19" i="14" s="1"/>
  <c r="AA39" i="14"/>
  <c r="AA42" i="14" s="1"/>
  <c r="AA44" i="14" s="1"/>
  <c r="AA74" i="14"/>
  <c r="AA75" i="14" s="1"/>
  <c r="AH46" i="15" l="1"/>
  <c r="AH49" i="15"/>
  <c r="AH50" i="15" s="1"/>
  <c r="AH76" i="15"/>
  <c r="AH77" i="15" s="1"/>
  <c r="AA45" i="14"/>
  <c r="AA46" i="14"/>
  <c r="AB41" i="14"/>
  <c r="AC8" i="14"/>
  <c r="AB34" i="14"/>
  <c r="AB20" i="14"/>
  <c r="AA76" i="14"/>
  <c r="AB74" i="14" l="1"/>
  <c r="AB39" i="14"/>
  <c r="AB42" i="14" s="1"/>
  <c r="AB44" i="14" s="1"/>
  <c r="AC7" i="14"/>
  <c r="AC14" i="14"/>
  <c r="AC19" i="14" s="1"/>
  <c r="AB46" i="14" l="1"/>
  <c r="AC41" i="14"/>
  <c r="AB45" i="14"/>
  <c r="AD8" i="14"/>
  <c r="AC20" i="14"/>
  <c r="AC34" i="14"/>
  <c r="AB75" i="14"/>
  <c r="AB76" i="14" s="1"/>
  <c r="AC39" i="14" l="1"/>
  <c r="AC42" i="14" s="1"/>
  <c r="AC44" i="14" s="1"/>
  <c r="AC74" i="14"/>
  <c r="AD7" i="14"/>
  <c r="AD14" i="14"/>
  <c r="AD19" i="14" s="1"/>
  <c r="AD34" i="14" l="1"/>
  <c r="AD20" i="14"/>
  <c r="AC75" i="14"/>
  <c r="AC76" i="14" s="1"/>
  <c r="AD41" i="14"/>
  <c r="AC45" i="14"/>
  <c r="AE8" i="14"/>
  <c r="AC46" i="14"/>
  <c r="AE7" i="14" l="1"/>
  <c r="AE14" i="14"/>
  <c r="AE19" i="14" s="1"/>
  <c r="AD74" i="14"/>
  <c r="AD39" i="14"/>
  <c r="AD42" i="14" s="1"/>
  <c r="AD44" i="14" s="1"/>
  <c r="AD75" i="14" l="1"/>
  <c r="AD76" i="14" s="1"/>
  <c r="AE34" i="14"/>
  <c r="AE20" i="14"/>
  <c r="AE41" i="14"/>
  <c r="AD45" i="14"/>
  <c r="AD46" i="14"/>
  <c r="AF8" i="14"/>
  <c r="AE74" i="14" l="1"/>
  <c r="AE39" i="14"/>
  <c r="AE42" i="14" s="1"/>
  <c r="AE44" i="14" s="1"/>
  <c r="AF7" i="14"/>
  <c r="AF14" i="14"/>
  <c r="AF19" i="14" s="1"/>
  <c r="AE45" i="14" l="1"/>
  <c r="AE46" i="14"/>
  <c r="AF41" i="14"/>
  <c r="AG8" i="14"/>
  <c r="AF34" i="14"/>
  <c r="AF20" i="14"/>
  <c r="AE75" i="14"/>
  <c r="AE76" i="14" s="1"/>
  <c r="AF74" i="14" l="1"/>
  <c r="AF39" i="14"/>
  <c r="AF42" i="14" s="1"/>
  <c r="AF44" i="14" s="1"/>
  <c r="AG7" i="14"/>
  <c r="AG14" i="14"/>
  <c r="AG19" i="14" s="1"/>
  <c r="AF46" i="14" l="1"/>
  <c r="AG41" i="14"/>
  <c r="AF45" i="14"/>
  <c r="AH8" i="14"/>
  <c r="AG20" i="14"/>
  <c r="AG34" i="14"/>
  <c r="AF75" i="14"/>
  <c r="AF76" i="14" s="1"/>
  <c r="AG39" i="14" l="1"/>
  <c r="AG42" i="14" s="1"/>
  <c r="AG44" i="14" s="1"/>
  <c r="AG74" i="14"/>
  <c r="AH7" i="14"/>
  <c r="AH14" i="14"/>
  <c r="AH19" i="14" s="1"/>
  <c r="AH34" i="14" l="1"/>
  <c r="AH20" i="14"/>
  <c r="AH41" i="14"/>
  <c r="AG45" i="14"/>
  <c r="AG46" i="14"/>
  <c r="AG75" i="14"/>
  <c r="AG76" i="14" s="1"/>
  <c r="AH74" i="14" l="1"/>
  <c r="AH39" i="14"/>
  <c r="AH42" i="14" s="1"/>
  <c r="AH44" i="14" s="1"/>
  <c r="AH45" i="14" l="1"/>
  <c r="AH46" i="14"/>
  <c r="AH75" i="14"/>
  <c r="AH76" i="14" s="1"/>
  <c r="H74" i="13" l="1"/>
  <c r="I74" i="13"/>
  <c r="J74" i="13"/>
  <c r="K74" i="13"/>
  <c r="L74" i="13"/>
  <c r="M74" i="13"/>
  <c r="G74" i="13"/>
  <c r="L49" i="12"/>
  <c r="K49" i="12"/>
  <c r="J49" i="12"/>
  <c r="I49" i="12"/>
  <c r="H49" i="12"/>
  <c r="G49" i="12"/>
  <c r="F49" i="12"/>
  <c r="E49" i="12"/>
  <c r="D49" i="12"/>
  <c r="C49" i="12"/>
  <c r="M48" i="12"/>
  <c r="N48" i="12" s="1"/>
  <c r="G47" i="12"/>
  <c r="F47" i="12"/>
  <c r="E47" i="12"/>
  <c r="D47" i="12"/>
  <c r="K46" i="12"/>
  <c r="H46" i="12"/>
  <c r="G46" i="12"/>
  <c r="F46" i="12"/>
  <c r="E46" i="12"/>
  <c r="D46" i="12"/>
  <c r="L44" i="12"/>
  <c r="I44" i="12"/>
  <c r="E44" i="12"/>
  <c r="C37" i="12"/>
  <c r="H30" i="12"/>
  <c r="D30" i="12"/>
  <c r="C27" i="12"/>
  <c r="G25" i="12"/>
  <c r="F25" i="12"/>
  <c r="E25" i="12"/>
  <c r="C25" i="12"/>
  <c r="C30" i="12" s="1"/>
  <c r="D31" i="12" s="1"/>
  <c r="J24" i="12"/>
  <c r="K24" i="12" s="1"/>
  <c r="I24" i="12"/>
  <c r="M23" i="12"/>
  <c r="L23" i="12"/>
  <c r="K23" i="12"/>
  <c r="J23" i="12"/>
  <c r="M22" i="12"/>
  <c r="L22" i="12"/>
  <c r="K22" i="12"/>
  <c r="J22" i="12"/>
  <c r="I22" i="12"/>
  <c r="I30" i="12" s="1"/>
  <c r="I34" i="12" s="1"/>
  <c r="H22" i="12"/>
  <c r="G22" i="12"/>
  <c r="G30" i="12" s="1"/>
  <c r="G31" i="12" s="1"/>
  <c r="F22" i="12"/>
  <c r="F30" i="12" s="1"/>
  <c r="E22" i="12"/>
  <c r="E30" i="12" s="1"/>
  <c r="E31" i="12" s="1"/>
  <c r="C22" i="12"/>
  <c r="D20" i="12"/>
  <c r="L19" i="12"/>
  <c r="K19" i="12"/>
  <c r="J19" i="12"/>
  <c r="I19" i="12"/>
  <c r="J20" i="12" s="1"/>
  <c r="H19" i="12"/>
  <c r="H34" i="12" s="1"/>
  <c r="G19" i="12"/>
  <c r="F19" i="12"/>
  <c r="F20" i="12" s="1"/>
  <c r="E19" i="12"/>
  <c r="E34" i="12" s="1"/>
  <c r="D19" i="12"/>
  <c r="D34" i="12" s="1"/>
  <c r="C19" i="12"/>
  <c r="M18" i="12"/>
  <c r="C18" i="12"/>
  <c r="L15" i="12"/>
  <c r="M15" i="12" s="1"/>
  <c r="M19" i="12" s="1"/>
  <c r="N9" i="12"/>
  <c r="N16" i="12" s="1"/>
  <c r="M9" i="12"/>
  <c r="C8" i="12"/>
  <c r="D7" i="12" s="1"/>
  <c r="D5" i="12"/>
  <c r="E5" i="12" s="1"/>
  <c r="F5" i="12" s="1"/>
  <c r="G5" i="12" s="1"/>
  <c r="H5" i="12" s="1"/>
  <c r="I5" i="12" s="1"/>
  <c r="J5" i="12" s="1"/>
  <c r="K5" i="12" s="1"/>
  <c r="L5" i="12" s="1"/>
  <c r="M5" i="12" s="1"/>
  <c r="N5" i="12" s="1"/>
  <c r="H3" i="12"/>
  <c r="I3" i="12" s="1"/>
  <c r="J3" i="12" s="1"/>
  <c r="K3" i="12" s="1"/>
  <c r="L3" i="12" s="1"/>
  <c r="M3" i="12" s="1"/>
  <c r="N3" i="12" s="1"/>
  <c r="G3" i="12"/>
  <c r="N8" i="12" l="1"/>
  <c r="N7" i="12" s="1"/>
  <c r="O3" i="12"/>
  <c r="P3" i="12" s="1"/>
  <c r="Q3" i="12" s="1"/>
  <c r="R3" i="12" s="1"/>
  <c r="S3" i="12" s="1"/>
  <c r="T3" i="12" s="1"/>
  <c r="U3" i="12" s="1"/>
  <c r="V3" i="12" s="1"/>
  <c r="W3" i="12" s="1"/>
  <c r="X3" i="12" s="1"/>
  <c r="Y3" i="12" s="1"/>
  <c r="Z3" i="12" s="1"/>
  <c r="AA3" i="12" s="1"/>
  <c r="AB3" i="12" s="1"/>
  <c r="AC3" i="12" s="1"/>
  <c r="AD3" i="12" s="1"/>
  <c r="AE3" i="12" s="1"/>
  <c r="AF3" i="12" s="1"/>
  <c r="AG3" i="12" s="1"/>
  <c r="AH3" i="12" s="1"/>
  <c r="O5" i="12"/>
  <c r="N14" i="12"/>
  <c r="N19" i="12" s="1"/>
  <c r="I74" i="12"/>
  <c r="I39" i="12"/>
  <c r="I42" i="12" s="1"/>
  <c r="O9" i="12"/>
  <c r="C34" i="12"/>
  <c r="G34" i="12"/>
  <c r="G20" i="12"/>
  <c r="K20" i="12"/>
  <c r="H20" i="12"/>
  <c r="M30" i="12"/>
  <c r="N22" i="12"/>
  <c r="L24" i="12"/>
  <c r="M24" i="12" s="1"/>
  <c r="N24" i="12" s="1"/>
  <c r="O24" i="12" s="1"/>
  <c r="K30" i="12"/>
  <c r="H31" i="12"/>
  <c r="I31" i="12"/>
  <c r="N29" i="12"/>
  <c r="O29" i="12" s="1"/>
  <c r="N28" i="12"/>
  <c r="O28" i="12" s="1"/>
  <c r="N25" i="12"/>
  <c r="O25" i="12" s="1"/>
  <c r="E74" i="12"/>
  <c r="E39" i="12"/>
  <c r="E42" i="12" s="1"/>
  <c r="L30" i="12"/>
  <c r="L31" i="12" s="1"/>
  <c r="M20" i="12"/>
  <c r="N15" i="12"/>
  <c r="O15" i="12" s="1"/>
  <c r="D39" i="12"/>
  <c r="D42" i="12" s="1"/>
  <c r="D74" i="12"/>
  <c r="H39" i="12"/>
  <c r="H42" i="12" s="1"/>
  <c r="H75" i="12"/>
  <c r="H74" i="12"/>
  <c r="L20" i="12"/>
  <c r="N23" i="12"/>
  <c r="O23" i="12" s="1"/>
  <c r="I20" i="12"/>
  <c r="F31" i="12"/>
  <c r="N49" i="12"/>
  <c r="O48" i="12"/>
  <c r="J46" i="12"/>
  <c r="I46" i="12"/>
  <c r="E20" i="12"/>
  <c r="J30" i="12"/>
  <c r="J31" i="12" s="1"/>
  <c r="F34" i="12"/>
  <c r="L46" i="12"/>
  <c r="K47" i="12"/>
  <c r="M49" i="12"/>
  <c r="M31" i="12" l="1"/>
  <c r="P28" i="12"/>
  <c r="Q28" i="12" s="1"/>
  <c r="R28" i="12" s="1"/>
  <c r="S28" i="12" s="1"/>
  <c r="T28" i="12" s="1"/>
  <c r="U28" i="12" s="1"/>
  <c r="V28" i="12" s="1"/>
  <c r="W28" i="12" s="1"/>
  <c r="X28" i="12" s="1"/>
  <c r="Y28" i="12" s="1"/>
  <c r="Z28" i="12" s="1"/>
  <c r="AA28" i="12" s="1"/>
  <c r="AB28" i="12" s="1"/>
  <c r="AC28" i="12" s="1"/>
  <c r="AD28" i="12" s="1"/>
  <c r="AE28" i="12" s="1"/>
  <c r="AF28" i="12" s="1"/>
  <c r="AG28" i="12" s="1"/>
  <c r="AH28" i="12" s="1"/>
  <c r="L47" i="12"/>
  <c r="J34" i="12"/>
  <c r="L34" i="12"/>
  <c r="M34" i="12"/>
  <c r="E76" i="12"/>
  <c r="P29" i="12"/>
  <c r="Q29" i="12" s="1"/>
  <c r="R29" i="12" s="1"/>
  <c r="S29" i="12" s="1"/>
  <c r="T29" i="12" s="1"/>
  <c r="U29" i="12" s="1"/>
  <c r="V29" i="12" s="1"/>
  <c r="W29" i="12" s="1"/>
  <c r="X29" i="12" s="1"/>
  <c r="Y29" i="12" s="1"/>
  <c r="Z29" i="12" s="1"/>
  <c r="AA29" i="12" s="1"/>
  <c r="AB29" i="12" s="1"/>
  <c r="AC29" i="12" s="1"/>
  <c r="AD29" i="12" s="1"/>
  <c r="AE29" i="12" s="1"/>
  <c r="AF29" i="12" s="1"/>
  <c r="AG29" i="12" s="1"/>
  <c r="AH29" i="12" s="1"/>
  <c r="C39" i="12"/>
  <c r="C42" i="12" s="1"/>
  <c r="C74" i="12"/>
  <c r="I75" i="12"/>
  <c r="I76" i="12" s="1"/>
  <c r="N20" i="12"/>
  <c r="K31" i="12"/>
  <c r="G39" i="12"/>
  <c r="G42" i="12" s="1"/>
  <c r="G74" i="12"/>
  <c r="G75" i="12" s="1"/>
  <c r="P5" i="12"/>
  <c r="F74" i="12"/>
  <c r="F75" i="12" s="1"/>
  <c r="F39" i="12"/>
  <c r="F42" i="12" s="1"/>
  <c r="P48" i="12"/>
  <c r="O49" i="12"/>
  <c r="H76" i="12"/>
  <c r="D75" i="12"/>
  <c r="D76" i="12" s="1"/>
  <c r="E75" i="12"/>
  <c r="N30" i="12"/>
  <c r="N31" i="12" s="1"/>
  <c r="O22" i="12"/>
  <c r="K34" i="12"/>
  <c r="O27" i="12"/>
  <c r="P9" i="12"/>
  <c r="Q9" i="12" s="1"/>
  <c r="R9" i="12" s="1"/>
  <c r="S9" i="12" s="1"/>
  <c r="T9" i="12" s="1"/>
  <c r="U9" i="12" s="1"/>
  <c r="V9" i="12" s="1"/>
  <c r="W9" i="12" s="1"/>
  <c r="X9" i="12" s="1"/>
  <c r="Y9" i="12" s="1"/>
  <c r="Z9" i="12" s="1"/>
  <c r="AA9" i="12" s="1"/>
  <c r="AB9" i="12" s="1"/>
  <c r="AC9" i="12" s="1"/>
  <c r="AD9" i="12" s="1"/>
  <c r="AE9" i="12" s="1"/>
  <c r="AF9" i="12" s="1"/>
  <c r="AG9" i="12" s="1"/>
  <c r="AH9" i="12" s="1"/>
  <c r="O18" i="12"/>
  <c r="P18" i="12" s="1"/>
  <c r="Q18" i="12" s="1"/>
  <c r="R18" i="12" s="1"/>
  <c r="S18" i="12" s="1"/>
  <c r="T18" i="12" s="1"/>
  <c r="U18" i="12" s="1"/>
  <c r="V18" i="12" s="1"/>
  <c r="W18" i="12" s="1"/>
  <c r="X18" i="12" s="1"/>
  <c r="Y18" i="12" s="1"/>
  <c r="Z18" i="12" s="1"/>
  <c r="AA18" i="12" s="1"/>
  <c r="AB18" i="12" s="1"/>
  <c r="AC18" i="12" s="1"/>
  <c r="AD18" i="12" s="1"/>
  <c r="AE18" i="12" s="1"/>
  <c r="AF18" i="12" s="1"/>
  <c r="AG18" i="12" s="1"/>
  <c r="AH18" i="12" s="1"/>
  <c r="O26" i="12"/>
  <c r="O16" i="12"/>
  <c r="C75" i="12" l="1"/>
  <c r="C76" i="12" s="1"/>
  <c r="L45" i="12"/>
  <c r="M47" i="12"/>
  <c r="P15" i="12"/>
  <c r="Q15" i="12" s="1"/>
  <c r="R15" i="12" s="1"/>
  <c r="S15" i="12" s="1"/>
  <c r="T15" i="12" s="1"/>
  <c r="U15" i="12" s="1"/>
  <c r="V15" i="12" s="1"/>
  <c r="W15" i="12" s="1"/>
  <c r="X15" i="12" s="1"/>
  <c r="Y15" i="12" s="1"/>
  <c r="Z15" i="12" s="1"/>
  <c r="AA15" i="12" s="1"/>
  <c r="AB15" i="12" s="1"/>
  <c r="AC15" i="12" s="1"/>
  <c r="AD15" i="12" s="1"/>
  <c r="AE15" i="12" s="1"/>
  <c r="AF15" i="12" s="1"/>
  <c r="AG15" i="12" s="1"/>
  <c r="AH15" i="12" s="1"/>
  <c r="P16" i="12"/>
  <c r="Q16" i="12" s="1"/>
  <c r="R16" i="12" s="1"/>
  <c r="S16" i="12" s="1"/>
  <c r="T16" i="12" s="1"/>
  <c r="U16" i="12" s="1"/>
  <c r="V16" i="12" s="1"/>
  <c r="W16" i="12" s="1"/>
  <c r="X16" i="12" s="1"/>
  <c r="Y16" i="12" s="1"/>
  <c r="Z16" i="12" s="1"/>
  <c r="AA16" i="12" s="1"/>
  <c r="AB16" i="12" s="1"/>
  <c r="AC16" i="12" s="1"/>
  <c r="AD16" i="12" s="1"/>
  <c r="AE16" i="12" s="1"/>
  <c r="AF16" i="12" s="1"/>
  <c r="AG16" i="12" s="1"/>
  <c r="AH16" i="12" s="1"/>
  <c r="Q48" i="12"/>
  <c r="P49" i="12"/>
  <c r="P25" i="12"/>
  <c r="Q25" i="12" s="1"/>
  <c r="R25" i="12" s="1"/>
  <c r="S25" i="12" s="1"/>
  <c r="T25" i="12" s="1"/>
  <c r="U25" i="12" s="1"/>
  <c r="V25" i="12" s="1"/>
  <c r="W25" i="12" s="1"/>
  <c r="X25" i="12" s="1"/>
  <c r="Y25" i="12" s="1"/>
  <c r="Z25" i="12" s="1"/>
  <c r="AA25" i="12" s="1"/>
  <c r="AB25" i="12" s="1"/>
  <c r="AC25" i="12" s="1"/>
  <c r="AD25" i="12" s="1"/>
  <c r="AE25" i="12" s="1"/>
  <c r="AF25" i="12" s="1"/>
  <c r="AG25" i="12" s="1"/>
  <c r="AH25" i="12" s="1"/>
  <c r="M74" i="12"/>
  <c r="M39" i="12"/>
  <c r="M42" i="12" s="1"/>
  <c r="M44" i="12" s="1"/>
  <c r="J75" i="12"/>
  <c r="J74" i="12"/>
  <c r="J39" i="12"/>
  <c r="J42" i="12" s="1"/>
  <c r="O30" i="12"/>
  <c r="O31" i="12" s="1"/>
  <c r="P22" i="12"/>
  <c r="L39" i="12"/>
  <c r="L42" i="12" s="1"/>
  <c r="L75" i="12"/>
  <c r="L74" i="12"/>
  <c r="F76" i="12"/>
  <c r="G76" i="12"/>
  <c r="N34" i="12"/>
  <c r="P27" i="12"/>
  <c r="Q27" i="12" s="1"/>
  <c r="R27" i="12" s="1"/>
  <c r="S27" i="12" s="1"/>
  <c r="T27" i="12" s="1"/>
  <c r="U27" i="12" s="1"/>
  <c r="V27" i="12" s="1"/>
  <c r="W27" i="12" s="1"/>
  <c r="X27" i="12" s="1"/>
  <c r="Y27" i="12" s="1"/>
  <c r="Z27" i="12" s="1"/>
  <c r="AA27" i="12" s="1"/>
  <c r="AB27" i="12" s="1"/>
  <c r="AC27" i="12" s="1"/>
  <c r="AD27" i="12" s="1"/>
  <c r="AE27" i="12" s="1"/>
  <c r="AF27" i="12" s="1"/>
  <c r="AG27" i="12" s="1"/>
  <c r="AH27" i="12" s="1"/>
  <c r="P26" i="12"/>
  <c r="Q26" i="12" s="1"/>
  <c r="R26" i="12" s="1"/>
  <c r="S26" i="12" s="1"/>
  <c r="T26" i="12" s="1"/>
  <c r="U26" i="12" s="1"/>
  <c r="V26" i="12" s="1"/>
  <c r="W26" i="12" s="1"/>
  <c r="X26" i="12" s="1"/>
  <c r="Y26" i="12" s="1"/>
  <c r="Z26" i="12" s="1"/>
  <c r="AA26" i="12" s="1"/>
  <c r="AB26" i="12" s="1"/>
  <c r="AC26" i="12" s="1"/>
  <c r="AD26" i="12" s="1"/>
  <c r="AE26" i="12" s="1"/>
  <c r="AF26" i="12" s="1"/>
  <c r="AG26" i="12" s="1"/>
  <c r="AH26" i="12" s="1"/>
  <c r="K39" i="12"/>
  <c r="K42" i="12" s="1"/>
  <c r="K74" i="12"/>
  <c r="K75" i="12" s="1"/>
  <c r="N47" i="12"/>
  <c r="O47" i="12" s="1"/>
  <c r="P47" i="12" s="1"/>
  <c r="Q5" i="12"/>
  <c r="P24" i="12"/>
  <c r="Q24" i="12" s="1"/>
  <c r="R24" i="12" s="1"/>
  <c r="S24" i="12" s="1"/>
  <c r="T24" i="12" s="1"/>
  <c r="U24" i="12" s="1"/>
  <c r="V24" i="12" s="1"/>
  <c r="W24" i="12" s="1"/>
  <c r="X24" i="12" s="1"/>
  <c r="Y24" i="12" s="1"/>
  <c r="Z24" i="12" s="1"/>
  <c r="AA24" i="12" s="1"/>
  <c r="AB24" i="12" s="1"/>
  <c r="AC24" i="12" s="1"/>
  <c r="AD24" i="12" s="1"/>
  <c r="AE24" i="12" s="1"/>
  <c r="AF24" i="12" s="1"/>
  <c r="AG24" i="12" s="1"/>
  <c r="AH24" i="12" s="1"/>
  <c r="P23" i="12"/>
  <c r="Q23" i="12" s="1"/>
  <c r="R23" i="12" s="1"/>
  <c r="S23" i="12" s="1"/>
  <c r="T23" i="12" s="1"/>
  <c r="U23" i="12" s="1"/>
  <c r="V23" i="12" s="1"/>
  <c r="W23" i="12" s="1"/>
  <c r="X23" i="12" s="1"/>
  <c r="Y23" i="12" s="1"/>
  <c r="Z23" i="12" s="1"/>
  <c r="AA23" i="12" s="1"/>
  <c r="AB23" i="12" s="1"/>
  <c r="AC23" i="12" s="1"/>
  <c r="AD23" i="12" s="1"/>
  <c r="AE23" i="12" s="1"/>
  <c r="AF23" i="12" s="1"/>
  <c r="AG23" i="12" s="1"/>
  <c r="AH23" i="12" s="1"/>
  <c r="N74" i="12" l="1"/>
  <c r="N39" i="12"/>
  <c r="N41" i="12"/>
  <c r="M45" i="12"/>
  <c r="O8" i="12"/>
  <c r="M46" i="12"/>
  <c r="P30" i="12"/>
  <c r="P31" i="12" s="1"/>
  <c r="Q22" i="12"/>
  <c r="R48" i="12"/>
  <c r="Q49" i="12"/>
  <c r="R5" i="12"/>
  <c r="K76" i="12"/>
  <c r="L76" i="12"/>
  <c r="J76" i="12"/>
  <c r="M75" i="12"/>
  <c r="M76" i="12" s="1"/>
  <c r="R47" i="12"/>
  <c r="S47" i="12" s="1"/>
  <c r="Q47" i="12"/>
  <c r="N42" i="12" l="1"/>
  <c r="N44" i="12" s="1"/>
  <c r="T47" i="12"/>
  <c r="U47" i="12" s="1"/>
  <c r="R49" i="12"/>
  <c r="S48" i="12"/>
  <c r="Q30" i="12"/>
  <c r="Q31" i="12" s="1"/>
  <c r="R22" i="12"/>
  <c r="S5" i="12"/>
  <c r="O7" i="12"/>
  <c r="O14" i="12"/>
  <c r="O19" i="12" s="1"/>
  <c r="N75" i="12"/>
  <c r="N76" i="12" s="1"/>
  <c r="V47" i="12" l="1"/>
  <c r="O34" i="12"/>
  <c r="O20" i="12"/>
  <c r="R30" i="12"/>
  <c r="R31" i="12" s="1"/>
  <c r="S22" i="12"/>
  <c r="W47" i="12"/>
  <c r="X47" i="12" s="1"/>
  <c r="Y47" i="12" s="1"/>
  <c r="Z47" i="12" s="1"/>
  <c r="AA47" i="12" s="1"/>
  <c r="AB47" i="12" s="1"/>
  <c r="AC47" i="12" s="1"/>
  <c r="AD47" i="12" s="1"/>
  <c r="AE47" i="12" s="1"/>
  <c r="AF47" i="12" s="1"/>
  <c r="AG47" i="12" s="1"/>
  <c r="AH47" i="12" s="1"/>
  <c r="T48" i="12"/>
  <c r="S49" i="12"/>
  <c r="T5" i="12"/>
  <c r="O41" i="12"/>
  <c r="N45" i="12"/>
  <c r="N46" i="12"/>
  <c r="P8" i="12"/>
  <c r="P7" i="12" l="1"/>
  <c r="P14" i="12"/>
  <c r="P19" i="12" s="1"/>
  <c r="T22" i="12"/>
  <c r="S30" i="12"/>
  <c r="S31" i="12" s="1"/>
  <c r="U48" i="12"/>
  <c r="T49" i="12"/>
  <c r="U5" i="12"/>
  <c r="O39" i="12"/>
  <c r="O42" i="12" s="1"/>
  <c r="O44" i="12" s="1"/>
  <c r="O74" i="12"/>
  <c r="V5" i="12" l="1"/>
  <c r="O76" i="12"/>
  <c r="T30" i="12"/>
  <c r="T31" i="12" s="1"/>
  <c r="U22" i="12"/>
  <c r="O75" i="12"/>
  <c r="P34" i="12"/>
  <c r="P20" i="12"/>
  <c r="O45" i="12"/>
  <c r="O46" i="12"/>
  <c r="P41" i="12"/>
  <c r="Q8" i="12"/>
  <c r="V48" i="12"/>
  <c r="U49" i="12"/>
  <c r="P39" i="12" l="1"/>
  <c r="P42" i="12" s="1"/>
  <c r="P44" i="12" s="1"/>
  <c r="P74" i="12"/>
  <c r="V49" i="12"/>
  <c r="W48" i="12"/>
  <c r="Q7" i="12"/>
  <c r="Q14" i="12"/>
  <c r="Q19" i="12" s="1"/>
  <c r="U30" i="12"/>
  <c r="U31" i="12" s="1"/>
  <c r="V22" i="12"/>
  <c r="W5" i="12"/>
  <c r="X5" i="12" l="1"/>
  <c r="P75" i="12"/>
  <c r="P76" i="12" s="1"/>
  <c r="Q34" i="12"/>
  <c r="Q20" i="12"/>
  <c r="V30" i="12"/>
  <c r="V31" i="12" s="1"/>
  <c r="W22" i="12"/>
  <c r="X48" i="12"/>
  <c r="W49" i="12"/>
  <c r="P46" i="12"/>
  <c r="P45" i="12"/>
  <c r="Q41" i="12"/>
  <c r="R8" i="12"/>
  <c r="W30" i="12" l="1"/>
  <c r="W31" i="12" s="1"/>
  <c r="X22" i="12"/>
  <c r="R7" i="12"/>
  <c r="R14" i="12"/>
  <c r="R19" i="12" s="1"/>
  <c r="Y5" i="12"/>
  <c r="Y48" i="12"/>
  <c r="X49" i="12"/>
  <c r="Q74" i="12"/>
  <c r="Q39" i="12"/>
  <c r="Q42" i="12" s="1"/>
  <c r="Q44" i="12" s="1"/>
  <c r="R34" i="12" l="1"/>
  <c r="R20" i="12"/>
  <c r="R41" i="12"/>
  <c r="Q46" i="12"/>
  <c r="S8" i="12"/>
  <c r="Q45" i="12"/>
  <c r="Z48" i="12"/>
  <c r="Y49" i="12"/>
  <c r="Z5" i="12"/>
  <c r="Y22" i="12"/>
  <c r="X30" i="12"/>
  <c r="X31" i="12" s="1"/>
  <c r="Q75" i="12"/>
  <c r="Q76" i="12" s="1"/>
  <c r="Z49" i="12" l="1"/>
  <c r="AA48" i="12"/>
  <c r="AA5" i="12"/>
  <c r="S7" i="12"/>
  <c r="S14" i="12"/>
  <c r="S19" i="12" s="1"/>
  <c r="Y30" i="12"/>
  <c r="Y31" i="12" s="1"/>
  <c r="Z22" i="12"/>
  <c r="R74" i="12"/>
  <c r="R39" i="12"/>
  <c r="R42" i="12" s="1"/>
  <c r="R44" i="12" s="1"/>
  <c r="S41" i="12" l="1"/>
  <c r="R45" i="12"/>
  <c r="R46" i="12"/>
  <c r="T8" i="12"/>
  <c r="S20" i="12"/>
  <c r="S34" i="12"/>
  <c r="AA49" i="12"/>
  <c r="AB48" i="12"/>
  <c r="Z30" i="12"/>
  <c r="Z31" i="12" s="1"/>
  <c r="AA22" i="12"/>
  <c r="AB5" i="12"/>
  <c r="R75" i="12"/>
  <c r="R76" i="12" s="1"/>
  <c r="AB22" i="12" l="1"/>
  <c r="AA30" i="12"/>
  <c r="AA31" i="12" s="1"/>
  <c r="S39" i="12"/>
  <c r="S42" i="12" s="1"/>
  <c r="S44" i="12" s="1"/>
  <c r="S74" i="12"/>
  <c r="AC5" i="12"/>
  <c r="AC48" i="12"/>
  <c r="AB49" i="12"/>
  <c r="T7" i="12"/>
  <c r="T14" i="12"/>
  <c r="T19" i="12" s="1"/>
  <c r="T34" i="12" l="1"/>
  <c r="T20" i="12"/>
  <c r="AD5" i="12"/>
  <c r="AD48" i="12"/>
  <c r="AC49" i="12"/>
  <c r="S45" i="12"/>
  <c r="S46" i="12"/>
  <c r="T41" i="12"/>
  <c r="U8" i="12"/>
  <c r="S75" i="12"/>
  <c r="S76" i="12" s="1"/>
  <c r="AB30" i="12"/>
  <c r="AB31" i="12" s="1"/>
  <c r="AC22" i="12"/>
  <c r="U7" i="12" l="1"/>
  <c r="U14" i="12"/>
  <c r="U19" i="12" s="1"/>
  <c r="AD49" i="12"/>
  <c r="AE48" i="12"/>
  <c r="T39" i="12"/>
  <c r="T42" i="12" s="1"/>
  <c r="T44" i="12" s="1"/>
  <c r="T74" i="12"/>
  <c r="T75" i="12" s="1"/>
  <c r="AE5" i="12"/>
  <c r="AC30" i="12"/>
  <c r="AC31" i="12" s="1"/>
  <c r="AD22" i="12"/>
  <c r="AF5" i="12" l="1"/>
  <c r="AD30" i="12"/>
  <c r="AD31" i="12" s="1"/>
  <c r="AE22" i="12"/>
  <c r="U34" i="12"/>
  <c r="U20" i="12"/>
  <c r="AF48" i="12"/>
  <c r="AE49" i="12"/>
  <c r="T76" i="12"/>
  <c r="T46" i="12"/>
  <c r="T45" i="12"/>
  <c r="U41" i="12"/>
  <c r="V8" i="12"/>
  <c r="AG48" i="12" l="1"/>
  <c r="AF49" i="12"/>
  <c r="V7" i="12"/>
  <c r="V14" i="12"/>
  <c r="V19" i="12" s="1"/>
  <c r="AG5" i="12"/>
  <c r="AE30" i="12"/>
  <c r="AE31" i="12" s="1"/>
  <c r="AF22" i="12"/>
  <c r="U74" i="12"/>
  <c r="U39" i="12"/>
  <c r="U42" i="12" s="1"/>
  <c r="U44" i="12" s="1"/>
  <c r="AH5" i="12" l="1"/>
  <c r="AG22" i="12"/>
  <c r="AF30" i="12"/>
  <c r="AF31" i="12" s="1"/>
  <c r="V34" i="12"/>
  <c r="V20" i="12"/>
  <c r="V41" i="12"/>
  <c r="U45" i="12"/>
  <c r="U46" i="12"/>
  <c r="W8" i="12"/>
  <c r="U75" i="12"/>
  <c r="U76" i="12" s="1"/>
  <c r="AH48" i="12"/>
  <c r="AH49" i="12" s="1"/>
  <c r="AG49" i="12"/>
  <c r="W7" i="12" l="1"/>
  <c r="W14" i="12"/>
  <c r="W19" i="12" s="1"/>
  <c r="V74" i="12"/>
  <c r="V39" i="12"/>
  <c r="V42" i="12" s="1"/>
  <c r="V44" i="12" s="1"/>
  <c r="AG30" i="12"/>
  <c r="AG31" i="12" s="1"/>
  <c r="AH22" i="12"/>
  <c r="AH30" i="12" s="1"/>
  <c r="AH31" i="12" s="1"/>
  <c r="W34" i="12" l="1"/>
  <c r="W20" i="12"/>
  <c r="V75" i="12"/>
  <c r="V76" i="12" s="1"/>
  <c r="W41" i="12"/>
  <c r="V45" i="12"/>
  <c r="V46" i="12"/>
  <c r="X8" i="12"/>
  <c r="X7" i="12" l="1"/>
  <c r="X14" i="12"/>
  <c r="X19" i="12" s="1"/>
  <c r="W39" i="12"/>
  <c r="W42" i="12" s="1"/>
  <c r="W44" i="12" s="1"/>
  <c r="W75" i="12"/>
  <c r="W74" i="12"/>
  <c r="X34" i="12" l="1"/>
  <c r="X20" i="12"/>
  <c r="W45" i="12"/>
  <c r="W46" i="12"/>
  <c r="X41" i="12"/>
  <c r="Y8" i="12"/>
  <c r="W76" i="12"/>
  <c r="Y7" i="12" l="1"/>
  <c r="Y14" i="12"/>
  <c r="Y19" i="12" s="1"/>
  <c r="X39" i="12"/>
  <c r="X42" i="12" s="1"/>
  <c r="X44" i="12" s="1"/>
  <c r="X75" i="12"/>
  <c r="X74" i="12"/>
  <c r="Y34" i="12" l="1"/>
  <c r="Y20" i="12"/>
  <c r="X46" i="12"/>
  <c r="X45" i="12"/>
  <c r="Y41" i="12"/>
  <c r="Z8" i="12"/>
  <c r="X76" i="12"/>
  <c r="Z7" i="12" l="1"/>
  <c r="Z14" i="12"/>
  <c r="Z19" i="12" s="1"/>
  <c r="Y74" i="12"/>
  <c r="Y75" i="12" s="1"/>
  <c r="Y39" i="12"/>
  <c r="Y42" i="12" s="1"/>
  <c r="Y44" i="12" s="1"/>
  <c r="Z20" i="12" l="1"/>
  <c r="Z34" i="12"/>
  <c r="Y76" i="12"/>
  <c r="Z41" i="12"/>
  <c r="Y46" i="12"/>
  <c r="AA8" i="12"/>
  <c r="Y45" i="12"/>
  <c r="Z74" i="12" l="1"/>
  <c r="Z39" i="12"/>
  <c r="Z42" i="12" s="1"/>
  <c r="Z44" i="12" s="1"/>
  <c r="AA7" i="12"/>
  <c r="AA14" i="12"/>
  <c r="AA19" i="12" s="1"/>
  <c r="AA41" i="12" l="1"/>
  <c r="Z45" i="12"/>
  <c r="AB8" i="12"/>
  <c r="Z46" i="12"/>
  <c r="AA20" i="12"/>
  <c r="AA34" i="12"/>
  <c r="Z75" i="12"/>
  <c r="Z76" i="12" s="1"/>
  <c r="AB7" i="12" l="1"/>
  <c r="AB14" i="12"/>
  <c r="AB19" i="12" s="1"/>
  <c r="AA39" i="12"/>
  <c r="AA42" i="12" s="1"/>
  <c r="AA44" i="12" s="1"/>
  <c r="AA75" i="12"/>
  <c r="AA74" i="12"/>
  <c r="AB34" i="12" l="1"/>
  <c r="AB20" i="12"/>
  <c r="AA45" i="12"/>
  <c r="AA46" i="12"/>
  <c r="AB41" i="12"/>
  <c r="AC8" i="12"/>
  <c r="AA76" i="12"/>
  <c r="AC7" i="12" l="1"/>
  <c r="AC14" i="12"/>
  <c r="AC19" i="12" s="1"/>
  <c r="AB39" i="12"/>
  <c r="AB42" i="12" s="1"/>
  <c r="AB44" i="12" s="1"/>
  <c r="AB75" i="12"/>
  <c r="AB74" i="12"/>
  <c r="AC34" i="12" l="1"/>
  <c r="AC20" i="12"/>
  <c r="AB46" i="12"/>
  <c r="AD8" i="12"/>
  <c r="AB45" i="12"/>
  <c r="AC41" i="12"/>
  <c r="AB76" i="12"/>
  <c r="AD7" i="12" l="1"/>
  <c r="AD14" i="12"/>
  <c r="AD19" i="12" s="1"/>
  <c r="AC74" i="12"/>
  <c r="AC39" i="12"/>
  <c r="AC42" i="12" s="1"/>
  <c r="AC44" i="12" s="1"/>
  <c r="AC75" i="12" l="1"/>
  <c r="AC76" i="12" s="1"/>
  <c r="AD34" i="12"/>
  <c r="AD20" i="12"/>
  <c r="AD41" i="12"/>
  <c r="AC45" i="12"/>
  <c r="AE8" i="12"/>
  <c r="AC46" i="12"/>
  <c r="AE7" i="12" l="1"/>
  <c r="AE14" i="12"/>
  <c r="AE19" i="12" s="1"/>
  <c r="AD74" i="12"/>
  <c r="AD39" i="12"/>
  <c r="AD42" i="12" s="1"/>
  <c r="AD44" i="12" s="1"/>
  <c r="AE34" i="12" l="1"/>
  <c r="AE20" i="12"/>
  <c r="AD75" i="12"/>
  <c r="AD76" i="12" s="1"/>
  <c r="AE41" i="12"/>
  <c r="AD45" i="12"/>
  <c r="AD46" i="12"/>
  <c r="AF8" i="12"/>
  <c r="AE39" i="12" l="1"/>
  <c r="AE42" i="12" s="1"/>
  <c r="AE44" i="12" s="1"/>
  <c r="AE74" i="12"/>
  <c r="AF7" i="12"/>
  <c r="AF14" i="12"/>
  <c r="AF19" i="12" s="1"/>
  <c r="AE75" i="12" l="1"/>
  <c r="AE76" i="12" s="1"/>
  <c r="AF34" i="12"/>
  <c r="AF20" i="12"/>
  <c r="AE45" i="12"/>
  <c r="AE46" i="12"/>
  <c r="AF41" i="12"/>
  <c r="AG8" i="12"/>
  <c r="AG7" i="12" l="1"/>
  <c r="AG14" i="12"/>
  <c r="AG19" i="12" s="1"/>
  <c r="AF39" i="12"/>
  <c r="AF42" i="12" s="1"/>
  <c r="AF44" i="12" s="1"/>
  <c r="AF75" i="12"/>
  <c r="AF74" i="12"/>
  <c r="AG34" i="12" l="1"/>
  <c r="AG20" i="12"/>
  <c r="AF46" i="12"/>
  <c r="AF45" i="12"/>
  <c r="AG41" i="12"/>
  <c r="AH8" i="12"/>
  <c r="AF76" i="12"/>
  <c r="AH7" i="12" l="1"/>
  <c r="AH14" i="12"/>
  <c r="AH19" i="12" s="1"/>
  <c r="AG74" i="12"/>
  <c r="AG75" i="12" s="1"/>
  <c r="AG39" i="12"/>
  <c r="AG42" i="12" s="1"/>
  <c r="AG44" i="12" s="1"/>
  <c r="AH34" i="12" l="1"/>
  <c r="AH20" i="12"/>
  <c r="AG76" i="12"/>
  <c r="AH41" i="12"/>
  <c r="AG46" i="12"/>
  <c r="AG45" i="12"/>
  <c r="AH74" i="12" l="1"/>
  <c r="AH39" i="12"/>
  <c r="AH42" i="12" s="1"/>
  <c r="AH44" i="12" s="1"/>
  <c r="AH45" i="12" l="1"/>
  <c r="AH46" i="12"/>
  <c r="AH75" i="12"/>
  <c r="AH76" i="12" s="1"/>
  <c r="L50" i="13" l="1"/>
  <c r="K50" i="13"/>
  <c r="J50" i="13"/>
  <c r="I50" i="13"/>
  <c r="H50" i="13"/>
  <c r="G50" i="13"/>
  <c r="F50" i="13"/>
  <c r="E50" i="13"/>
  <c r="D50" i="13"/>
  <c r="C50" i="13"/>
  <c r="G48" i="13"/>
  <c r="F48" i="13"/>
  <c r="E48" i="13"/>
  <c r="D48" i="13"/>
  <c r="K47" i="13"/>
  <c r="H47" i="13"/>
  <c r="G47" i="13"/>
  <c r="E47" i="13"/>
  <c r="D47" i="13"/>
  <c r="L45" i="13"/>
  <c r="L47" i="13" s="1"/>
  <c r="I45" i="13"/>
  <c r="E45" i="13"/>
  <c r="F47" i="13" s="1"/>
  <c r="C37" i="13"/>
  <c r="G34" i="13"/>
  <c r="D30" i="13"/>
  <c r="C27" i="13"/>
  <c r="G25" i="13"/>
  <c r="F25" i="13"/>
  <c r="E25" i="13"/>
  <c r="C25" i="13"/>
  <c r="I24" i="13"/>
  <c r="J24" i="13" s="1"/>
  <c r="K24" i="13" s="1"/>
  <c r="L24" i="13" s="1"/>
  <c r="M24" i="13" s="1"/>
  <c r="L23" i="13"/>
  <c r="K23" i="13"/>
  <c r="J23" i="13"/>
  <c r="L22" i="13"/>
  <c r="K22" i="13"/>
  <c r="J22" i="13"/>
  <c r="J30" i="13" s="1"/>
  <c r="J31" i="13" s="1"/>
  <c r="I22" i="13"/>
  <c r="I30" i="13" s="1"/>
  <c r="I31" i="13" s="1"/>
  <c r="H22" i="13"/>
  <c r="H30" i="13" s="1"/>
  <c r="G22" i="13"/>
  <c r="G30" i="13" s="1"/>
  <c r="F22" i="13"/>
  <c r="F30" i="13" s="1"/>
  <c r="E22" i="13"/>
  <c r="E30" i="13" s="1"/>
  <c r="E31" i="13" s="1"/>
  <c r="C22" i="13"/>
  <c r="K19" i="13"/>
  <c r="K20" i="13" s="1"/>
  <c r="J19" i="13"/>
  <c r="J20" i="13" s="1"/>
  <c r="I19" i="13"/>
  <c r="I34" i="13" s="1"/>
  <c r="H19" i="13"/>
  <c r="H34" i="13" s="1"/>
  <c r="G19" i="13"/>
  <c r="G20" i="13" s="1"/>
  <c r="F19" i="13"/>
  <c r="F20" i="13" s="1"/>
  <c r="E19" i="13"/>
  <c r="E34" i="13" s="1"/>
  <c r="D19" i="13"/>
  <c r="D34" i="13" s="1"/>
  <c r="C19" i="13"/>
  <c r="C18" i="13"/>
  <c r="L15" i="13"/>
  <c r="L19" i="13" s="1"/>
  <c r="M9" i="13"/>
  <c r="N9" i="13" s="1"/>
  <c r="C8" i="13"/>
  <c r="D7" i="13"/>
  <c r="D5" i="13"/>
  <c r="E5" i="13" s="1"/>
  <c r="F5" i="13" s="1"/>
  <c r="G5" i="13" s="1"/>
  <c r="H5" i="13" s="1"/>
  <c r="I5" i="13" s="1"/>
  <c r="J5" i="13" s="1"/>
  <c r="K5" i="13" s="1"/>
  <c r="L5" i="13" s="1"/>
  <c r="M6" i="13" s="1"/>
  <c r="H3" i="13"/>
  <c r="I3" i="13" s="1"/>
  <c r="J3" i="13" s="1"/>
  <c r="K3" i="13" s="1"/>
  <c r="L3" i="13" s="1"/>
  <c r="M3" i="13" s="1"/>
  <c r="N3" i="13" s="1"/>
  <c r="N74" i="13" s="1"/>
  <c r="G3" i="13"/>
  <c r="F31" i="13" l="1"/>
  <c r="G31" i="13"/>
  <c r="N24" i="13"/>
  <c r="N7" i="13"/>
  <c r="O3" i="13"/>
  <c r="L20" i="13"/>
  <c r="O9" i="13"/>
  <c r="H39" i="13"/>
  <c r="H43" i="13" s="1"/>
  <c r="H75" i="13"/>
  <c r="H76" i="13" s="1"/>
  <c r="I20" i="13"/>
  <c r="G75" i="13"/>
  <c r="G76" i="13" s="1"/>
  <c r="G39" i="13"/>
  <c r="G43" i="13" s="1"/>
  <c r="M15" i="13"/>
  <c r="N15" i="13" s="1"/>
  <c r="O15" i="13" s="1"/>
  <c r="E39" i="13"/>
  <c r="E43" i="13" s="1"/>
  <c r="E76" i="13"/>
  <c r="E75" i="13"/>
  <c r="I39" i="13"/>
  <c r="I43" i="13" s="1"/>
  <c r="I75" i="13"/>
  <c r="K30" i="13"/>
  <c r="K31" i="13" s="1"/>
  <c r="F34" i="13"/>
  <c r="J34" i="13"/>
  <c r="C30" i="13"/>
  <c r="C34" i="13" s="1"/>
  <c r="H31" i="13"/>
  <c r="L30" i="13"/>
  <c r="L34" i="13" s="1"/>
  <c r="D39" i="13"/>
  <c r="D43" i="13" s="1"/>
  <c r="D76" i="13"/>
  <c r="D75" i="13"/>
  <c r="E20" i="13"/>
  <c r="O5" i="13"/>
  <c r="D20" i="13"/>
  <c r="H20" i="13"/>
  <c r="M30" i="13"/>
  <c r="M31" i="13" s="1"/>
  <c r="J47" i="13"/>
  <c r="I47" i="13"/>
  <c r="K48" i="13"/>
  <c r="M50" i="13"/>
  <c r="M19" i="13" l="1"/>
  <c r="M34" i="13" s="1"/>
  <c r="M75" i="13" s="1"/>
  <c r="P3" i="13"/>
  <c r="O74" i="13"/>
  <c r="Q3" i="13"/>
  <c r="P74" i="13"/>
  <c r="L39" i="13"/>
  <c r="L43" i="13" s="1"/>
  <c r="L75" i="13"/>
  <c r="C39" i="13"/>
  <c r="C43" i="13" s="1"/>
  <c r="C75" i="13"/>
  <c r="C76" i="13" s="1"/>
  <c r="D77" i="13"/>
  <c r="J76" i="13"/>
  <c r="J75" i="13"/>
  <c r="J39" i="13"/>
  <c r="J43" i="13" s="1"/>
  <c r="I76" i="13"/>
  <c r="I77" i="13" s="1"/>
  <c r="O24" i="13"/>
  <c r="G77" i="13"/>
  <c r="N30" i="13"/>
  <c r="N31" i="13" s="1"/>
  <c r="L48" i="13"/>
  <c r="M48" i="13" s="1"/>
  <c r="D31" i="13"/>
  <c r="L31" i="13"/>
  <c r="F76" i="13"/>
  <c r="F75" i="13"/>
  <c r="F39" i="13"/>
  <c r="F43" i="13" s="1"/>
  <c r="K34" i="13"/>
  <c r="N19" i="13"/>
  <c r="P9" i="13"/>
  <c r="Q9" i="13" s="1"/>
  <c r="R9" i="13" s="1"/>
  <c r="S9" i="13" s="1"/>
  <c r="T9" i="13" s="1"/>
  <c r="U9" i="13" s="1"/>
  <c r="V9" i="13" s="1"/>
  <c r="W9" i="13" s="1"/>
  <c r="X9" i="13" s="1"/>
  <c r="Y9" i="13" s="1"/>
  <c r="Z9" i="13" s="1"/>
  <c r="AA9" i="13" s="1"/>
  <c r="AB9" i="13" s="1"/>
  <c r="AC9" i="13" s="1"/>
  <c r="AD9" i="13" s="1"/>
  <c r="AE9" i="13" s="1"/>
  <c r="AF9" i="13" s="1"/>
  <c r="AG9" i="13" s="1"/>
  <c r="AH9" i="13" s="1"/>
  <c r="P5" i="13"/>
  <c r="E77" i="13"/>
  <c r="H77" i="13"/>
  <c r="P16" i="13"/>
  <c r="Q16" i="13" s="1"/>
  <c r="R16" i="13" s="1"/>
  <c r="S16" i="13" s="1"/>
  <c r="T16" i="13" s="1"/>
  <c r="U16" i="13" s="1"/>
  <c r="V16" i="13" s="1"/>
  <c r="W16" i="13" s="1"/>
  <c r="X16" i="13" s="1"/>
  <c r="Y16" i="13" s="1"/>
  <c r="Z16" i="13" s="1"/>
  <c r="AA16" i="13" s="1"/>
  <c r="AB16" i="13" s="1"/>
  <c r="M20" i="13" l="1"/>
  <c r="P23" i="13"/>
  <c r="Q23" i="13" s="1"/>
  <c r="R23" i="13" s="1"/>
  <c r="S23" i="13" s="1"/>
  <c r="T23" i="13" s="1"/>
  <c r="U23" i="13" s="1"/>
  <c r="V23" i="13" s="1"/>
  <c r="W23" i="13" s="1"/>
  <c r="X23" i="13" s="1"/>
  <c r="Y23" i="13" s="1"/>
  <c r="Z23" i="13" s="1"/>
  <c r="AA23" i="13" s="1"/>
  <c r="AB23" i="13" s="1"/>
  <c r="AC23" i="13" s="1"/>
  <c r="AD23" i="13" s="1"/>
  <c r="AE23" i="13" s="1"/>
  <c r="AF23" i="13" s="1"/>
  <c r="AG23" i="13" s="1"/>
  <c r="AH23" i="13" s="1"/>
  <c r="P15" i="13"/>
  <c r="Q15" i="13" s="1"/>
  <c r="R15" i="13" s="1"/>
  <c r="S15" i="13" s="1"/>
  <c r="T15" i="13" s="1"/>
  <c r="U15" i="13" s="1"/>
  <c r="V15" i="13" s="1"/>
  <c r="W15" i="13" s="1"/>
  <c r="X15" i="13" s="1"/>
  <c r="Y15" i="13" s="1"/>
  <c r="Z15" i="13" s="1"/>
  <c r="AA15" i="13" s="1"/>
  <c r="AB15" i="13" s="1"/>
  <c r="P27" i="13"/>
  <c r="Q27" i="13" s="1"/>
  <c r="R27" i="13" s="1"/>
  <c r="S27" i="13" s="1"/>
  <c r="T27" i="13" s="1"/>
  <c r="U27" i="13" s="1"/>
  <c r="V27" i="13" s="1"/>
  <c r="W27" i="13" s="1"/>
  <c r="X27" i="13" s="1"/>
  <c r="Y27" i="13" s="1"/>
  <c r="Z27" i="13" s="1"/>
  <c r="AA27" i="13" s="1"/>
  <c r="AB27" i="13" s="1"/>
  <c r="AC27" i="13" s="1"/>
  <c r="AD27" i="13" s="1"/>
  <c r="AE27" i="13" s="1"/>
  <c r="AF27" i="13" s="1"/>
  <c r="AG27" i="13" s="1"/>
  <c r="AH27" i="13" s="1"/>
  <c r="P28" i="13"/>
  <c r="Q28" i="13" s="1"/>
  <c r="R28" i="13" s="1"/>
  <c r="S28" i="13" s="1"/>
  <c r="T28" i="13" s="1"/>
  <c r="U28" i="13" s="1"/>
  <c r="V28" i="13" s="1"/>
  <c r="W28" i="13" s="1"/>
  <c r="X28" i="13" s="1"/>
  <c r="Y28" i="13" s="1"/>
  <c r="Z28" i="13" s="1"/>
  <c r="AA28" i="13" s="1"/>
  <c r="AB28" i="13" s="1"/>
  <c r="AC28" i="13" s="1"/>
  <c r="AD28" i="13" s="1"/>
  <c r="AE28" i="13" s="1"/>
  <c r="AF28" i="13" s="1"/>
  <c r="AG28" i="13" s="1"/>
  <c r="AH28" i="13" s="1"/>
  <c r="R3" i="13"/>
  <c r="Q74" i="13"/>
  <c r="K39" i="13"/>
  <c r="K43" i="13" s="1"/>
  <c r="K75" i="13"/>
  <c r="K76" i="13" s="1"/>
  <c r="P24" i="13"/>
  <c r="Q24" i="13" s="1"/>
  <c r="R24" i="13" s="1"/>
  <c r="S24" i="13" s="1"/>
  <c r="T24" i="13" s="1"/>
  <c r="U24" i="13" s="1"/>
  <c r="V24" i="13" s="1"/>
  <c r="W24" i="13" s="1"/>
  <c r="X24" i="13" s="1"/>
  <c r="Y24" i="13" s="1"/>
  <c r="Z24" i="13" s="1"/>
  <c r="AA24" i="13" s="1"/>
  <c r="AB24" i="13" s="1"/>
  <c r="AC24" i="13" s="1"/>
  <c r="AD24" i="13" s="1"/>
  <c r="AE24" i="13" s="1"/>
  <c r="AF24" i="13" s="1"/>
  <c r="AG24" i="13" s="1"/>
  <c r="AH24" i="13" s="1"/>
  <c r="AC15" i="13"/>
  <c r="AD15" i="13" s="1"/>
  <c r="AE15" i="13" s="1"/>
  <c r="AF15" i="13" s="1"/>
  <c r="AG15" i="13" s="1"/>
  <c r="AH15" i="13" s="1"/>
  <c r="M39" i="13"/>
  <c r="M43" i="13" s="1"/>
  <c r="M45" i="13" s="1"/>
  <c r="N45" i="13" s="1"/>
  <c r="N47" i="13" s="1"/>
  <c r="AC16" i="13"/>
  <c r="AD16" i="13" s="1"/>
  <c r="AE16" i="13" s="1"/>
  <c r="AF16" i="13" s="1"/>
  <c r="AG16" i="13" s="1"/>
  <c r="AH16" i="13" s="1"/>
  <c r="Q5" i="13"/>
  <c r="P26" i="13"/>
  <c r="Q26" i="13" s="1"/>
  <c r="R26" i="13" s="1"/>
  <c r="S26" i="13" s="1"/>
  <c r="T26" i="13" s="1"/>
  <c r="U26" i="13" s="1"/>
  <c r="V26" i="13" s="1"/>
  <c r="W26" i="13" s="1"/>
  <c r="X26" i="13" s="1"/>
  <c r="Y26" i="13" s="1"/>
  <c r="Z26" i="13" s="1"/>
  <c r="AA26" i="13" s="1"/>
  <c r="AB26" i="13" s="1"/>
  <c r="AC26" i="13" s="1"/>
  <c r="AD26" i="13" s="1"/>
  <c r="AE26" i="13" s="1"/>
  <c r="AF26" i="13" s="1"/>
  <c r="AG26" i="13" s="1"/>
  <c r="AH26" i="13" s="1"/>
  <c r="L46" i="13"/>
  <c r="N48" i="13"/>
  <c r="P29" i="13"/>
  <c r="J77" i="13"/>
  <c r="L76" i="13"/>
  <c r="L77" i="13" s="1"/>
  <c r="N34" i="13"/>
  <c r="N75" i="13" s="1"/>
  <c r="N20" i="13"/>
  <c r="F77" i="13"/>
  <c r="P22" i="13"/>
  <c r="O30" i="13"/>
  <c r="C77" i="13"/>
  <c r="O31" i="13" l="1"/>
  <c r="Q29" i="13"/>
  <c r="R29" i="13" s="1"/>
  <c r="S29" i="13" s="1"/>
  <c r="T29" i="13" s="1"/>
  <c r="U29" i="13" s="1"/>
  <c r="V29" i="13" s="1"/>
  <c r="W29" i="13" s="1"/>
  <c r="X29" i="13" s="1"/>
  <c r="Y29" i="13" s="1"/>
  <c r="Z29" i="13" s="1"/>
  <c r="AA29" i="13" s="1"/>
  <c r="AB29" i="13" s="1"/>
  <c r="AC29" i="13" s="1"/>
  <c r="AD29" i="13" s="1"/>
  <c r="AE29" i="13" s="1"/>
  <c r="AF29" i="13" s="1"/>
  <c r="AG29" i="13" s="1"/>
  <c r="AH29" i="13" s="1"/>
  <c r="R18" i="13"/>
  <c r="S18" i="13" s="1"/>
  <c r="T18" i="13" s="1"/>
  <c r="U18" i="13" s="1"/>
  <c r="V18" i="13" s="1"/>
  <c r="W18" i="13" s="1"/>
  <c r="X18" i="13" s="1"/>
  <c r="Y18" i="13" s="1"/>
  <c r="Z18" i="13" s="1"/>
  <c r="AA18" i="13" s="1"/>
  <c r="AB18" i="13" s="1"/>
  <c r="AC18" i="13" s="1"/>
  <c r="AD18" i="13" s="1"/>
  <c r="AE18" i="13" s="1"/>
  <c r="AF18" i="13" s="1"/>
  <c r="AG18" i="13" s="1"/>
  <c r="AH18" i="13" s="1"/>
  <c r="S3" i="13"/>
  <c r="R74" i="13"/>
  <c r="N76" i="13"/>
  <c r="N39" i="13"/>
  <c r="Q22" i="13"/>
  <c r="P30" i="13"/>
  <c r="P31" i="13" s="1"/>
  <c r="K77" i="13"/>
  <c r="M46" i="13"/>
  <c r="M47" i="13"/>
  <c r="O8" i="13"/>
  <c r="O48" i="13"/>
  <c r="P48" i="13" s="1"/>
  <c r="R5" i="13"/>
  <c r="M76" i="13"/>
  <c r="M77" i="13" s="1"/>
  <c r="N43" i="13" l="1"/>
  <c r="N49" i="13" s="1"/>
  <c r="N50" i="13" s="1"/>
  <c r="T3" i="13"/>
  <c r="S74" i="13"/>
  <c r="O7" i="13"/>
  <c r="O19" i="13"/>
  <c r="O41" i="13" s="1"/>
  <c r="S5" i="13"/>
  <c r="Q30" i="13"/>
  <c r="Q31" i="13" s="1"/>
  <c r="R22" i="13"/>
  <c r="N77" i="13"/>
  <c r="Q48" i="13"/>
  <c r="U3" i="13" l="1"/>
  <c r="T74" i="13"/>
  <c r="S22" i="13"/>
  <c r="R30" i="13"/>
  <c r="R31" i="13" s="1"/>
  <c r="O34" i="13"/>
  <c r="O20" i="13"/>
  <c r="O45" i="13"/>
  <c r="N46" i="13"/>
  <c r="P8" i="13"/>
  <c r="R48" i="13"/>
  <c r="T5" i="13"/>
  <c r="V3" i="13" l="1"/>
  <c r="U74" i="13"/>
  <c r="S48" i="13"/>
  <c r="P7" i="13"/>
  <c r="P14" i="13"/>
  <c r="P19" i="13" s="1"/>
  <c r="T22" i="13"/>
  <c r="S30" i="13"/>
  <c r="S31" i="13" s="1"/>
  <c r="U5" i="13"/>
  <c r="O75" i="13"/>
  <c r="O76" i="13" s="1"/>
  <c r="O39" i="13"/>
  <c r="W3" i="13" l="1"/>
  <c r="V74" i="13"/>
  <c r="V5" i="13"/>
  <c r="O46" i="13"/>
  <c r="O47" i="13"/>
  <c r="O43" i="13" s="1"/>
  <c r="O49" i="13" s="1"/>
  <c r="P41" i="13"/>
  <c r="P45" i="13" s="1"/>
  <c r="Q8" i="13"/>
  <c r="P34" i="13"/>
  <c r="P36" i="13" s="1"/>
  <c r="P20" i="13"/>
  <c r="O77" i="13"/>
  <c r="U22" i="13"/>
  <c r="T30" i="13"/>
  <c r="T31" i="13" s="1"/>
  <c r="T48" i="13"/>
  <c r="U48" i="13" s="1"/>
  <c r="V48" i="13" s="1"/>
  <c r="W48" i="13" s="1"/>
  <c r="X48" i="13" s="1"/>
  <c r="Y48" i="13" s="1"/>
  <c r="Z48" i="13" s="1"/>
  <c r="AA48" i="13" s="1"/>
  <c r="AB48" i="13" s="1"/>
  <c r="AC48" i="13" s="1"/>
  <c r="AD48" i="13" s="1"/>
  <c r="AE48" i="13" s="1"/>
  <c r="AF48" i="13" s="1"/>
  <c r="O50" i="13" l="1"/>
  <c r="X3" i="13"/>
  <c r="W74" i="13"/>
  <c r="Q7" i="13"/>
  <c r="Q14" i="13"/>
  <c r="Q19" i="13" s="1"/>
  <c r="P39" i="13"/>
  <c r="P75" i="13"/>
  <c r="P76" i="13" s="1"/>
  <c r="U30" i="13"/>
  <c r="U31" i="13" s="1"/>
  <c r="V22" i="13"/>
  <c r="W5" i="13"/>
  <c r="Y3" i="13" l="1"/>
  <c r="X74" i="13"/>
  <c r="X5" i="13"/>
  <c r="P77" i="13"/>
  <c r="Q34" i="13"/>
  <c r="Q36" i="13" s="1"/>
  <c r="Q20" i="13"/>
  <c r="W22" i="13"/>
  <c r="V30" i="13"/>
  <c r="V31" i="13" s="1"/>
  <c r="P47" i="13"/>
  <c r="P43" i="13" s="1"/>
  <c r="P49" i="13" s="1"/>
  <c r="Q41" i="13"/>
  <c r="Q45" i="13" s="1"/>
  <c r="R8" i="13"/>
  <c r="P46" i="13"/>
  <c r="P50" i="13" l="1"/>
  <c r="Z3" i="13"/>
  <c r="Y74" i="13"/>
  <c r="Y5" i="13"/>
  <c r="Q39" i="13"/>
  <c r="Q75" i="13"/>
  <c r="Q76" i="13" s="1"/>
  <c r="R7" i="13"/>
  <c r="R14" i="13"/>
  <c r="R19" i="13" s="1"/>
  <c r="X22" i="13"/>
  <c r="W30" i="13"/>
  <c r="W31" i="13" s="1"/>
  <c r="AA3" i="13" l="1"/>
  <c r="Z74" i="13"/>
  <c r="R41" i="13"/>
  <c r="R45" i="13" s="1"/>
  <c r="Q46" i="13"/>
  <c r="S8" i="13"/>
  <c r="Q47" i="13"/>
  <c r="Q43" i="13" s="1"/>
  <c r="Q49" i="13" s="1"/>
  <c r="Y22" i="13"/>
  <c r="X30" i="13"/>
  <c r="X31" i="13" s="1"/>
  <c r="Z5" i="13"/>
  <c r="R34" i="13"/>
  <c r="R36" i="13" s="1"/>
  <c r="R20" i="13"/>
  <c r="Q77" i="13"/>
  <c r="Q50" i="13" l="1"/>
  <c r="AB3" i="13"/>
  <c r="AA74" i="13"/>
  <c r="R75" i="13"/>
  <c r="R39" i="13"/>
  <c r="Y30" i="13"/>
  <c r="Y31" i="13" s="1"/>
  <c r="Z22" i="13"/>
  <c r="AA5" i="13"/>
  <c r="S7" i="13"/>
  <c r="S14" i="13"/>
  <c r="S19" i="13" s="1"/>
  <c r="AC3" i="13" l="1"/>
  <c r="AB74" i="13"/>
  <c r="S41" i="13"/>
  <c r="S45" i="13" s="1"/>
  <c r="R46" i="13"/>
  <c r="R47" i="13"/>
  <c r="R43" i="13" s="1"/>
  <c r="R49" i="13" s="1"/>
  <c r="T8" i="13"/>
  <c r="AB5" i="13"/>
  <c r="S34" i="13"/>
  <c r="S36" i="13" s="1"/>
  <c r="S20" i="13"/>
  <c r="AA22" i="13"/>
  <c r="Z30" i="13"/>
  <c r="Z31" i="13" s="1"/>
  <c r="R76" i="13"/>
  <c r="R77" i="13" s="1"/>
  <c r="R50" i="13" l="1"/>
  <c r="AD3" i="13"/>
  <c r="AC74" i="13"/>
  <c r="S39" i="13"/>
  <c r="S75" i="13"/>
  <c r="S76" i="13" s="1"/>
  <c r="AC5" i="13"/>
  <c r="AB22" i="13"/>
  <c r="AA30" i="13"/>
  <c r="AA31" i="13" s="1"/>
  <c r="T7" i="13"/>
  <c r="T14" i="13"/>
  <c r="T19" i="13" s="1"/>
  <c r="AE3" i="13" l="1"/>
  <c r="AD74" i="13"/>
  <c r="AC22" i="13"/>
  <c r="AB30" i="13"/>
  <c r="AB31" i="13" s="1"/>
  <c r="T34" i="13"/>
  <c r="T36" i="13" s="1"/>
  <c r="T20" i="13"/>
  <c r="AD5" i="13"/>
  <c r="S77" i="13"/>
  <c r="S46" i="13"/>
  <c r="S47" i="13"/>
  <c r="S43" i="13" s="1"/>
  <c r="S49" i="13" s="1"/>
  <c r="T41" i="13"/>
  <c r="T45" i="13" s="1"/>
  <c r="U8" i="13"/>
  <c r="S50" i="13" l="1"/>
  <c r="AF3" i="13"/>
  <c r="AE74" i="13"/>
  <c r="AE5" i="13"/>
  <c r="AC30" i="13"/>
  <c r="AC31" i="13" s="1"/>
  <c r="AD22" i="13"/>
  <c r="U7" i="13"/>
  <c r="U14" i="13"/>
  <c r="U19" i="13" s="1"/>
  <c r="T39" i="13"/>
  <c r="T75" i="13"/>
  <c r="AG3" i="13" l="1"/>
  <c r="AF74" i="13"/>
  <c r="AE22" i="13"/>
  <c r="AD30" i="13"/>
  <c r="AD31" i="13" s="1"/>
  <c r="U34" i="13"/>
  <c r="U36" i="13" s="1"/>
  <c r="U20" i="13"/>
  <c r="AF5" i="13"/>
  <c r="T76" i="13"/>
  <c r="T77" i="13" s="1"/>
  <c r="T47" i="13"/>
  <c r="T43" i="13" s="1"/>
  <c r="T49" i="13" s="1"/>
  <c r="U41" i="13"/>
  <c r="U45" i="13" s="1"/>
  <c r="T46" i="13"/>
  <c r="V8" i="13"/>
  <c r="T50" i="13" l="1"/>
  <c r="AH3" i="13"/>
  <c r="AH74" i="13" s="1"/>
  <c r="AG74" i="13"/>
  <c r="U39" i="13"/>
  <c r="U75" i="13"/>
  <c r="V7" i="13"/>
  <c r="V14" i="13"/>
  <c r="V19" i="13" s="1"/>
  <c r="AG5" i="13"/>
  <c r="AF22" i="13"/>
  <c r="AE30" i="13"/>
  <c r="AE31" i="13" s="1"/>
  <c r="AH5" i="13" l="1"/>
  <c r="AG22" i="13"/>
  <c r="AF30" i="13"/>
  <c r="AF31" i="13" s="1"/>
  <c r="U76" i="13"/>
  <c r="U77" i="13" s="1"/>
  <c r="V34" i="13"/>
  <c r="V36" i="13" s="1"/>
  <c r="V20" i="13"/>
  <c r="V41" i="13"/>
  <c r="V45" i="13" s="1"/>
  <c r="U46" i="13"/>
  <c r="U47" i="13"/>
  <c r="U43" i="13" s="1"/>
  <c r="U49" i="13" s="1"/>
  <c r="W8" i="13"/>
  <c r="U50" i="13" l="1"/>
  <c r="V75" i="13"/>
  <c r="V76" i="13" s="1"/>
  <c r="V39" i="13"/>
  <c r="AG30" i="13"/>
  <c r="AG31" i="13" s="1"/>
  <c r="AH22" i="13"/>
  <c r="AH30" i="13" s="1"/>
  <c r="W7" i="13"/>
  <c r="W14" i="13"/>
  <c r="W19" i="13" s="1"/>
  <c r="W41" i="13" l="1"/>
  <c r="W45" i="13" s="1"/>
  <c r="V46" i="13"/>
  <c r="V47" i="13"/>
  <c r="V43" i="13" s="1"/>
  <c r="V49" i="13" s="1"/>
  <c r="X8" i="13"/>
  <c r="W34" i="13"/>
  <c r="W36" i="13" s="1"/>
  <c r="W20" i="13"/>
  <c r="V77" i="13"/>
  <c r="AH31" i="13"/>
  <c r="V50" i="13" l="1"/>
  <c r="W75" i="13"/>
  <c r="W76" i="13" s="1"/>
  <c r="W39" i="13"/>
  <c r="X7" i="13"/>
  <c r="X14" i="13"/>
  <c r="X19" i="13" s="1"/>
  <c r="W46" i="13" l="1"/>
  <c r="W47" i="13"/>
  <c r="W43" i="13" s="1"/>
  <c r="W49" i="13" s="1"/>
  <c r="X41" i="13"/>
  <c r="X45" i="13" s="1"/>
  <c r="Y8" i="13"/>
  <c r="W77" i="13"/>
  <c r="X34" i="13"/>
  <c r="X36" i="13" s="1"/>
  <c r="X20" i="13"/>
  <c r="W50" i="13" l="1"/>
  <c r="X39" i="13"/>
  <c r="X75" i="13"/>
  <c r="Y7" i="13"/>
  <c r="Y14" i="13"/>
  <c r="Y19" i="13" s="1"/>
  <c r="X76" i="13" l="1"/>
  <c r="X77" i="13" s="1"/>
  <c r="Y34" i="13"/>
  <c r="Y36" i="13" s="1"/>
  <c r="Y20" i="13"/>
  <c r="X47" i="13"/>
  <c r="X43" i="13" s="1"/>
  <c r="X49" i="13" s="1"/>
  <c r="Y41" i="13"/>
  <c r="Y45" i="13" s="1"/>
  <c r="X46" i="13"/>
  <c r="Z8" i="13"/>
  <c r="X50" i="13" l="1"/>
  <c r="Y39" i="13"/>
  <c r="Y75" i="13"/>
  <c r="Z7" i="13"/>
  <c r="Z14" i="13"/>
  <c r="Z19" i="13" s="1"/>
  <c r="Y76" i="13" l="1"/>
  <c r="Y77" i="13" s="1"/>
  <c r="Z34" i="13"/>
  <c r="Z36" i="13" s="1"/>
  <c r="Z20" i="13"/>
  <c r="Z41" i="13"/>
  <c r="Z45" i="13" s="1"/>
  <c r="Y46" i="13"/>
  <c r="Y47" i="13"/>
  <c r="Y43" i="13" s="1"/>
  <c r="Y49" i="13" s="1"/>
  <c r="AA8" i="13"/>
  <c r="Y50" i="13" l="1"/>
  <c r="Z75" i="13"/>
  <c r="Z39" i="13"/>
  <c r="AA7" i="13"/>
  <c r="AA14" i="13"/>
  <c r="AA19" i="13" s="1"/>
  <c r="AA41" i="13" l="1"/>
  <c r="AA45" i="13" s="1"/>
  <c r="Z46" i="13"/>
  <c r="Z47" i="13"/>
  <c r="Z43" i="13" s="1"/>
  <c r="Z49" i="13" s="1"/>
  <c r="AB8" i="13"/>
  <c r="AA34" i="13"/>
  <c r="AA36" i="13" s="1"/>
  <c r="AA20" i="13"/>
  <c r="Z76" i="13"/>
  <c r="Z77" i="13" s="1"/>
  <c r="Z50" i="13" l="1"/>
  <c r="AA39" i="13"/>
  <c r="AA75" i="13"/>
  <c r="AB7" i="13"/>
  <c r="AB14" i="13"/>
  <c r="AB19" i="13" s="1"/>
  <c r="AA76" i="13" l="1"/>
  <c r="AA77" i="13" s="1"/>
  <c r="AB34" i="13"/>
  <c r="AB36" i="13" s="1"/>
  <c r="AB20" i="13"/>
  <c r="AA46" i="13"/>
  <c r="AA47" i="13"/>
  <c r="AA43" i="13" s="1"/>
  <c r="AA49" i="13" s="1"/>
  <c r="AB41" i="13"/>
  <c r="AB45" i="13" s="1"/>
  <c r="AC8" i="13"/>
  <c r="AA50" i="13" l="1"/>
  <c r="AB39" i="13"/>
  <c r="AB75" i="13"/>
  <c r="AC7" i="13"/>
  <c r="AC14" i="13"/>
  <c r="AC19" i="13" s="1"/>
  <c r="L18" i="11"/>
  <c r="L22" i="11"/>
  <c r="J22" i="11"/>
  <c r="K23" i="11"/>
  <c r="K22" i="11"/>
  <c r="J49" i="11"/>
  <c r="I49" i="11"/>
  <c r="H49" i="11"/>
  <c r="G49" i="11"/>
  <c r="F49" i="11"/>
  <c r="E49" i="11"/>
  <c r="D49" i="11"/>
  <c r="C49" i="11"/>
  <c r="L48" i="11"/>
  <c r="L49" i="11" s="1"/>
  <c r="K49" i="11"/>
  <c r="G47" i="11"/>
  <c r="F47" i="11"/>
  <c r="E47" i="11"/>
  <c r="D47" i="11"/>
  <c r="H46" i="11"/>
  <c r="G46" i="11"/>
  <c r="D46" i="11"/>
  <c r="I44" i="11"/>
  <c r="J46" i="11" s="1"/>
  <c r="E44" i="11"/>
  <c r="F46" i="11" s="1"/>
  <c r="C37" i="11"/>
  <c r="D30" i="11"/>
  <c r="L28" i="11"/>
  <c r="C27" i="11"/>
  <c r="G25" i="11"/>
  <c r="F25" i="11"/>
  <c r="E25" i="11"/>
  <c r="C25" i="11"/>
  <c r="I24" i="11"/>
  <c r="J24" i="11" s="1"/>
  <c r="K24" i="11" s="1"/>
  <c r="L24" i="11" s="1"/>
  <c r="J23" i="11"/>
  <c r="I22" i="11"/>
  <c r="I30" i="11" s="1"/>
  <c r="H22" i="11"/>
  <c r="H30" i="11" s="1"/>
  <c r="G22" i="11"/>
  <c r="G30" i="11" s="1"/>
  <c r="F22" i="11"/>
  <c r="E22" i="11"/>
  <c r="C22" i="11"/>
  <c r="K19" i="11"/>
  <c r="J19" i="11"/>
  <c r="I19" i="11"/>
  <c r="H19" i="11"/>
  <c r="G19" i="11"/>
  <c r="G34" i="11" s="1"/>
  <c r="F19" i="11"/>
  <c r="E19" i="11"/>
  <c r="D19" i="11"/>
  <c r="C18" i="11"/>
  <c r="C19" i="11" s="1"/>
  <c r="L15" i="11"/>
  <c r="M9" i="11"/>
  <c r="M25" i="11" s="1"/>
  <c r="L7" i="11"/>
  <c r="C8" i="11"/>
  <c r="D7" i="11" s="1"/>
  <c r="D5" i="11"/>
  <c r="E5" i="11" s="1"/>
  <c r="F5" i="11" s="1"/>
  <c r="G5" i="11" s="1"/>
  <c r="H5" i="11" s="1"/>
  <c r="I5" i="11" s="1"/>
  <c r="J5" i="11" s="1"/>
  <c r="K5" i="11" s="1"/>
  <c r="L5" i="11" s="1"/>
  <c r="G3" i="11"/>
  <c r="H3" i="11" s="1"/>
  <c r="I3" i="11" s="1"/>
  <c r="J3" i="11" s="1"/>
  <c r="K3" i="11" s="1"/>
  <c r="L3" i="11" s="1"/>
  <c r="M3" i="11" s="1"/>
  <c r="N3" i="11" s="1"/>
  <c r="O3" i="11" s="1"/>
  <c r="P3" i="11" s="1"/>
  <c r="Q3" i="11" s="1"/>
  <c r="R3" i="11" s="1"/>
  <c r="S3" i="11" s="1"/>
  <c r="T3" i="11" s="1"/>
  <c r="U3" i="11" s="1"/>
  <c r="V3" i="11" s="1"/>
  <c r="W3" i="11" s="1"/>
  <c r="X3" i="11" s="1"/>
  <c r="Y3" i="11" s="1"/>
  <c r="Z3" i="11" s="1"/>
  <c r="AA3" i="11" s="1"/>
  <c r="AB3" i="11" s="1"/>
  <c r="AC3" i="11" s="1"/>
  <c r="AB76" i="13" l="1"/>
  <c r="AB77" i="13" s="1"/>
  <c r="AC34" i="13"/>
  <c r="AC36" i="13" s="1"/>
  <c r="AC20" i="13"/>
  <c r="AB47" i="13"/>
  <c r="AB43" i="13" s="1"/>
  <c r="AB49" i="13" s="1"/>
  <c r="AC41" i="13"/>
  <c r="AC45" i="13" s="1"/>
  <c r="AB46" i="13"/>
  <c r="AD8" i="13"/>
  <c r="K20" i="11"/>
  <c r="F30" i="11"/>
  <c r="N9" i="11"/>
  <c r="O9" i="11" s="1"/>
  <c r="P9" i="11" s="1"/>
  <c r="Q9" i="11" s="1"/>
  <c r="R9" i="11" s="1"/>
  <c r="S9" i="11" s="1"/>
  <c r="T9" i="11" s="1"/>
  <c r="U9" i="11" s="1"/>
  <c r="V9" i="11" s="1"/>
  <c r="W9" i="11" s="1"/>
  <c r="X9" i="11" s="1"/>
  <c r="Y9" i="11" s="1"/>
  <c r="Z9" i="11" s="1"/>
  <c r="AA9" i="11" s="1"/>
  <c r="AB9" i="11" s="1"/>
  <c r="AC9" i="11" s="1"/>
  <c r="D20" i="11"/>
  <c r="H20" i="11"/>
  <c r="C30" i="11"/>
  <c r="H31" i="11"/>
  <c r="F20" i="11"/>
  <c r="J20" i="11"/>
  <c r="E30" i="11"/>
  <c r="E31" i="11" s="1"/>
  <c r="I31" i="11"/>
  <c r="I20" i="11"/>
  <c r="E20" i="11"/>
  <c r="N25" i="11"/>
  <c r="O25" i="11" s="1"/>
  <c r="M15" i="11"/>
  <c r="N15" i="11" s="1"/>
  <c r="O15" i="11" s="1"/>
  <c r="P15" i="11" s="1"/>
  <c r="Q15" i="11" s="1"/>
  <c r="R15" i="11" s="1"/>
  <c r="S15" i="11" s="1"/>
  <c r="T15" i="11" s="1"/>
  <c r="U15" i="11" s="1"/>
  <c r="V15" i="11" s="1"/>
  <c r="W15" i="11" s="1"/>
  <c r="X15" i="11" s="1"/>
  <c r="Y15" i="11" s="1"/>
  <c r="Z15" i="11" s="1"/>
  <c r="AA15" i="11" s="1"/>
  <c r="AB15" i="11" s="1"/>
  <c r="AC15" i="11" s="1"/>
  <c r="E46" i="11"/>
  <c r="J30" i="11"/>
  <c r="J31" i="11" s="1"/>
  <c r="C34" i="11"/>
  <c r="G20" i="11"/>
  <c r="M18" i="11"/>
  <c r="N18" i="11" s="1"/>
  <c r="L19" i="11"/>
  <c r="L20" i="11" s="1"/>
  <c r="M48" i="11"/>
  <c r="M49" i="11" s="1"/>
  <c r="K30" i="11"/>
  <c r="I34" i="11"/>
  <c r="M5" i="11"/>
  <c r="C74" i="11"/>
  <c r="C39" i="11"/>
  <c r="C42" i="11" s="1"/>
  <c r="O18" i="11"/>
  <c r="P18" i="11" s="1"/>
  <c r="Q18" i="11" s="1"/>
  <c r="R18" i="11" s="1"/>
  <c r="S18" i="11" s="1"/>
  <c r="T18" i="11" s="1"/>
  <c r="U18" i="11" s="1"/>
  <c r="V18" i="11" s="1"/>
  <c r="W18" i="11" s="1"/>
  <c r="X18" i="11" s="1"/>
  <c r="Y18" i="11" s="1"/>
  <c r="Z18" i="11" s="1"/>
  <c r="AA18" i="11" s="1"/>
  <c r="AB18" i="11" s="1"/>
  <c r="AC18" i="11" s="1"/>
  <c r="P25" i="11"/>
  <c r="Q25" i="11" s="1"/>
  <c r="R25" i="11" s="1"/>
  <c r="S25" i="11" s="1"/>
  <c r="T25" i="11" s="1"/>
  <c r="U25" i="11" s="1"/>
  <c r="V25" i="11" s="1"/>
  <c r="W25" i="11" s="1"/>
  <c r="X25" i="11" s="1"/>
  <c r="Y25" i="11" s="1"/>
  <c r="Z25" i="11" s="1"/>
  <c r="AA25" i="11" s="1"/>
  <c r="AB25" i="11" s="1"/>
  <c r="AC25" i="11" s="1"/>
  <c r="G31" i="11"/>
  <c r="M23" i="11"/>
  <c r="N23" i="11" s="1"/>
  <c r="O23" i="11" s="1"/>
  <c r="P23" i="11" s="1"/>
  <c r="Q23" i="11" s="1"/>
  <c r="R23" i="11" s="1"/>
  <c r="S23" i="11" s="1"/>
  <c r="T23" i="11" s="1"/>
  <c r="U23" i="11" s="1"/>
  <c r="V23" i="11" s="1"/>
  <c r="W23" i="11" s="1"/>
  <c r="X23" i="11" s="1"/>
  <c r="Y23" i="11" s="1"/>
  <c r="Z23" i="11" s="1"/>
  <c r="AA23" i="11" s="1"/>
  <c r="AB23" i="11" s="1"/>
  <c r="AC23" i="11" s="1"/>
  <c r="M24" i="11"/>
  <c r="N24" i="11" s="1"/>
  <c r="O24" i="11" s="1"/>
  <c r="P24" i="11" s="1"/>
  <c r="Q24" i="11" s="1"/>
  <c r="R24" i="11" s="1"/>
  <c r="S24" i="11" s="1"/>
  <c r="T24" i="11" s="1"/>
  <c r="U24" i="11" s="1"/>
  <c r="V24" i="11" s="1"/>
  <c r="W24" i="11" s="1"/>
  <c r="X24" i="11" s="1"/>
  <c r="Y24" i="11" s="1"/>
  <c r="Z24" i="11" s="1"/>
  <c r="AA24" i="11" s="1"/>
  <c r="AB24" i="11" s="1"/>
  <c r="AC24" i="11" s="1"/>
  <c r="M29" i="11"/>
  <c r="N29" i="11" s="1"/>
  <c r="O29" i="11" s="1"/>
  <c r="P29" i="11" s="1"/>
  <c r="Q29" i="11" s="1"/>
  <c r="R29" i="11" s="1"/>
  <c r="S29" i="11" s="1"/>
  <c r="T29" i="11" s="1"/>
  <c r="U29" i="11" s="1"/>
  <c r="V29" i="11" s="1"/>
  <c r="W29" i="11" s="1"/>
  <c r="X29" i="11" s="1"/>
  <c r="Y29" i="11" s="1"/>
  <c r="Z29" i="11" s="1"/>
  <c r="AA29" i="11" s="1"/>
  <c r="AB29" i="11" s="1"/>
  <c r="AC29" i="11" s="1"/>
  <c r="F34" i="11"/>
  <c r="M16" i="11"/>
  <c r="N16" i="11" s="1"/>
  <c r="O16" i="11" s="1"/>
  <c r="P16" i="11" s="1"/>
  <c r="Q16" i="11" s="1"/>
  <c r="R16" i="11" s="1"/>
  <c r="S16" i="11" s="1"/>
  <c r="T16" i="11" s="1"/>
  <c r="U16" i="11" s="1"/>
  <c r="V16" i="11" s="1"/>
  <c r="W16" i="11" s="1"/>
  <c r="X16" i="11" s="1"/>
  <c r="Y16" i="11" s="1"/>
  <c r="Z16" i="11" s="1"/>
  <c r="AA16" i="11" s="1"/>
  <c r="AB16" i="11" s="1"/>
  <c r="AC16" i="11" s="1"/>
  <c r="G74" i="11"/>
  <c r="G75" i="11" s="1"/>
  <c r="G39" i="11"/>
  <c r="G42" i="11" s="1"/>
  <c r="L30" i="11"/>
  <c r="L31" i="11" s="1"/>
  <c r="M27" i="11"/>
  <c r="N27" i="11" s="1"/>
  <c r="O27" i="11" s="1"/>
  <c r="P27" i="11" s="1"/>
  <c r="Q27" i="11" s="1"/>
  <c r="R27" i="11" s="1"/>
  <c r="S27" i="11" s="1"/>
  <c r="T27" i="11" s="1"/>
  <c r="U27" i="11" s="1"/>
  <c r="V27" i="11" s="1"/>
  <c r="W27" i="11" s="1"/>
  <c r="X27" i="11" s="1"/>
  <c r="Y27" i="11" s="1"/>
  <c r="Z27" i="11" s="1"/>
  <c r="AA27" i="11" s="1"/>
  <c r="AB27" i="11" s="1"/>
  <c r="AC27" i="11" s="1"/>
  <c r="D31" i="11"/>
  <c r="D34" i="11"/>
  <c r="H34" i="11"/>
  <c r="M22" i="11"/>
  <c r="M26" i="11"/>
  <c r="N26" i="11" s="1"/>
  <c r="O26" i="11" s="1"/>
  <c r="P26" i="11" s="1"/>
  <c r="Q26" i="11" s="1"/>
  <c r="R26" i="11" s="1"/>
  <c r="S26" i="11" s="1"/>
  <c r="T26" i="11" s="1"/>
  <c r="U26" i="11" s="1"/>
  <c r="V26" i="11" s="1"/>
  <c r="W26" i="11" s="1"/>
  <c r="X26" i="11" s="1"/>
  <c r="Y26" i="11" s="1"/>
  <c r="Z26" i="11" s="1"/>
  <c r="AA26" i="11" s="1"/>
  <c r="AB26" i="11" s="1"/>
  <c r="AC26" i="11" s="1"/>
  <c r="M28" i="11"/>
  <c r="N28" i="11" s="1"/>
  <c r="O28" i="11" s="1"/>
  <c r="P28" i="11" s="1"/>
  <c r="Q28" i="11" s="1"/>
  <c r="R28" i="11" s="1"/>
  <c r="S28" i="11" s="1"/>
  <c r="T28" i="11" s="1"/>
  <c r="U28" i="11" s="1"/>
  <c r="V28" i="11" s="1"/>
  <c r="W28" i="11" s="1"/>
  <c r="X28" i="11" s="1"/>
  <c r="Y28" i="11" s="1"/>
  <c r="Z28" i="11" s="1"/>
  <c r="AA28" i="11" s="1"/>
  <c r="AB28" i="11" s="1"/>
  <c r="AC28" i="11" s="1"/>
  <c r="I46" i="11"/>
  <c r="N48" i="11"/>
  <c r="K47" i="11"/>
  <c r="J37" i="10"/>
  <c r="J22" i="10"/>
  <c r="AB50" i="13" l="1"/>
  <c r="AC39" i="13"/>
  <c r="AC75" i="13"/>
  <c r="AD7" i="13"/>
  <c r="AD14" i="13"/>
  <c r="AD19" i="13" s="1"/>
  <c r="E34" i="11"/>
  <c r="F31" i="11"/>
  <c r="J34" i="11"/>
  <c r="K31" i="11"/>
  <c r="K34" i="11"/>
  <c r="K39" i="11" s="1"/>
  <c r="K42" i="11" s="1"/>
  <c r="L34" i="11"/>
  <c r="L39" i="11" s="1"/>
  <c r="J74" i="11"/>
  <c r="J75" i="11" s="1"/>
  <c r="J39" i="11"/>
  <c r="J42" i="11" s="1"/>
  <c r="I74" i="11"/>
  <c r="I75" i="11" s="1"/>
  <c r="I39" i="11"/>
  <c r="I42" i="11" s="1"/>
  <c r="L47" i="11"/>
  <c r="N5" i="11"/>
  <c r="M30" i="11"/>
  <c r="M31" i="11" s="1"/>
  <c r="N22" i="11"/>
  <c r="H74" i="11"/>
  <c r="H39" i="11"/>
  <c r="H42" i="11" s="1"/>
  <c r="G76" i="11"/>
  <c r="F74" i="11"/>
  <c r="F75" i="11" s="1"/>
  <c r="F39" i="11"/>
  <c r="F42" i="11" s="1"/>
  <c r="E74" i="11"/>
  <c r="E39" i="11"/>
  <c r="E42" i="11" s="1"/>
  <c r="D74" i="11"/>
  <c r="D39" i="11"/>
  <c r="D42" i="11" s="1"/>
  <c r="N49" i="11"/>
  <c r="O48" i="11"/>
  <c r="C75" i="11"/>
  <c r="C76" i="11" s="1"/>
  <c r="J49" i="10"/>
  <c r="J23" i="10"/>
  <c r="AC76" i="13" l="1"/>
  <c r="AC77" i="13" s="1"/>
  <c r="AD34" i="13"/>
  <c r="AD36" i="13" s="1"/>
  <c r="AD20" i="13"/>
  <c r="AD41" i="13"/>
  <c r="AD45" i="13" s="1"/>
  <c r="AC46" i="13"/>
  <c r="AC47" i="13"/>
  <c r="AC43" i="13" s="1"/>
  <c r="AC49" i="13" s="1"/>
  <c r="AE8" i="13"/>
  <c r="L74" i="11"/>
  <c r="L75" i="11" s="1"/>
  <c r="K74" i="11"/>
  <c r="K75" i="11" s="1"/>
  <c r="K76" i="11" s="1"/>
  <c r="K46" i="11"/>
  <c r="P48" i="11"/>
  <c r="O49" i="11"/>
  <c r="D75" i="11"/>
  <c r="D76" i="11" s="1"/>
  <c r="I76" i="11"/>
  <c r="N30" i="11"/>
  <c r="N31" i="11" s="1"/>
  <c r="O22" i="11"/>
  <c r="M47" i="11"/>
  <c r="L42" i="11"/>
  <c r="L44" i="11" s="1"/>
  <c r="O5" i="11"/>
  <c r="E75" i="11"/>
  <c r="E76" i="11" s="1"/>
  <c r="F76" i="11"/>
  <c r="H75" i="11"/>
  <c r="H76" i="11" s="1"/>
  <c r="J76" i="11"/>
  <c r="G22" i="10"/>
  <c r="K23" i="10"/>
  <c r="K22" i="10"/>
  <c r="G46" i="10"/>
  <c r="H46" i="10"/>
  <c r="D46" i="10"/>
  <c r="AC50" i="13" l="1"/>
  <c r="AD75" i="13"/>
  <c r="AD39" i="13"/>
  <c r="AE7" i="13"/>
  <c r="AE14" i="13"/>
  <c r="AE19" i="13" s="1"/>
  <c r="L76" i="11"/>
  <c r="P5" i="11"/>
  <c r="O30" i="11"/>
  <c r="O31" i="11" s="1"/>
  <c r="P22" i="11"/>
  <c r="Q48" i="11"/>
  <c r="P49" i="11"/>
  <c r="L46" i="11"/>
  <c r="L45" i="11"/>
  <c r="N47" i="11"/>
  <c r="M10" i="10"/>
  <c r="N10" i="10" s="1"/>
  <c r="O10" i="10" s="1"/>
  <c r="P10" i="10" s="1"/>
  <c r="Q10" i="10" s="1"/>
  <c r="R10" i="10" s="1"/>
  <c r="S10" i="10" s="1"/>
  <c r="T10" i="10" s="1"/>
  <c r="U10" i="10" s="1"/>
  <c r="V10" i="10" s="1"/>
  <c r="W10" i="10" s="1"/>
  <c r="X10" i="10" s="1"/>
  <c r="Y10" i="10" s="1"/>
  <c r="Z10" i="10" s="1"/>
  <c r="AA10" i="10" s="1"/>
  <c r="AB10" i="10" s="1"/>
  <c r="AE41" i="13" l="1"/>
  <c r="AE45" i="13" s="1"/>
  <c r="AD46" i="13"/>
  <c r="AD47" i="13"/>
  <c r="AD43" i="13" s="1"/>
  <c r="AD49" i="13" s="1"/>
  <c r="AF8" i="13"/>
  <c r="AE20" i="13"/>
  <c r="AE34" i="13"/>
  <c r="AE36" i="13" s="1"/>
  <c r="AD76" i="13"/>
  <c r="AD77" i="13" s="1"/>
  <c r="P30" i="11"/>
  <c r="P31" i="11" s="1"/>
  <c r="Q22" i="11"/>
  <c r="O47" i="11"/>
  <c r="P47" i="11" s="1"/>
  <c r="Q49" i="11"/>
  <c r="R48" i="11"/>
  <c r="Q5" i="11"/>
  <c r="I49" i="10"/>
  <c r="H49" i="10"/>
  <c r="G49" i="10"/>
  <c r="F49" i="10"/>
  <c r="E49" i="10"/>
  <c r="D49" i="10"/>
  <c r="C49" i="10"/>
  <c r="K48" i="10"/>
  <c r="L48" i="10" s="1"/>
  <c r="G47" i="10"/>
  <c r="F47" i="10"/>
  <c r="E47" i="10"/>
  <c r="D47" i="10"/>
  <c r="I44" i="10"/>
  <c r="I46" i="10" s="1"/>
  <c r="E44" i="10"/>
  <c r="C37" i="10"/>
  <c r="D30" i="10"/>
  <c r="C27" i="10"/>
  <c r="G25" i="10"/>
  <c r="F25" i="10"/>
  <c r="E25" i="10"/>
  <c r="C25" i="10"/>
  <c r="I24" i="10"/>
  <c r="J24" i="10" s="1"/>
  <c r="I22" i="10"/>
  <c r="H22" i="10"/>
  <c r="H30" i="10" s="1"/>
  <c r="F22" i="10"/>
  <c r="E22" i="10"/>
  <c r="C22" i="10"/>
  <c r="C30" i="10" s="1"/>
  <c r="I19" i="10"/>
  <c r="H19" i="10"/>
  <c r="G19" i="10"/>
  <c r="F19" i="10"/>
  <c r="E19" i="10"/>
  <c r="D19" i="10"/>
  <c r="C18" i="10"/>
  <c r="C19" i="10" s="1"/>
  <c r="C34" i="10" s="1"/>
  <c r="C8" i="10"/>
  <c r="D7" i="10" s="1"/>
  <c r="Q7" i="10"/>
  <c r="R7" i="10" s="1"/>
  <c r="S7" i="10" s="1"/>
  <c r="T7" i="10" s="1"/>
  <c r="U7" i="10" s="1"/>
  <c r="V7" i="10" s="1"/>
  <c r="W7" i="10" s="1"/>
  <c r="X7" i="10" s="1"/>
  <c r="Y7" i="10" s="1"/>
  <c r="Z7" i="10" s="1"/>
  <c r="AA7" i="10" s="1"/>
  <c r="H7" i="10"/>
  <c r="I7" i="10" s="1"/>
  <c r="J7" i="10" s="1"/>
  <c r="M7" i="10" s="1"/>
  <c r="N7" i="10" s="1"/>
  <c r="O7" i="10" s="1"/>
  <c r="D5" i="10"/>
  <c r="E5" i="10" s="1"/>
  <c r="F5" i="10" s="1"/>
  <c r="G5" i="10" s="1"/>
  <c r="H5" i="10" s="1"/>
  <c r="I5" i="10" s="1"/>
  <c r="J5" i="10" s="1"/>
  <c r="G3" i="10"/>
  <c r="H3" i="10" s="1"/>
  <c r="I3" i="10" s="1"/>
  <c r="J3" i="10" s="1"/>
  <c r="K3" i="10" s="1"/>
  <c r="L3" i="10" s="1"/>
  <c r="M3" i="10" s="1"/>
  <c r="N3" i="10" s="1"/>
  <c r="O3" i="10" s="1"/>
  <c r="P3" i="10" s="1"/>
  <c r="Q3" i="10" s="1"/>
  <c r="R3" i="10" s="1"/>
  <c r="S3" i="10" s="1"/>
  <c r="T3" i="10" s="1"/>
  <c r="U3" i="10" s="1"/>
  <c r="V3" i="10" s="1"/>
  <c r="W3" i="10" s="1"/>
  <c r="X3" i="10" s="1"/>
  <c r="Y3" i="10" s="1"/>
  <c r="Z3" i="10" s="1"/>
  <c r="AA3" i="10" s="1"/>
  <c r="AB3" i="10" s="1"/>
  <c r="AC3" i="10" s="1"/>
  <c r="AD50" i="13" l="1"/>
  <c r="AE39" i="13"/>
  <c r="AE75" i="13"/>
  <c r="AF7" i="13"/>
  <c r="AF14" i="13"/>
  <c r="AF19" i="13" s="1"/>
  <c r="F30" i="10"/>
  <c r="G20" i="10"/>
  <c r="I30" i="10"/>
  <c r="I34" i="10" s="1"/>
  <c r="R49" i="11"/>
  <c r="S48" i="11"/>
  <c r="R5" i="11"/>
  <c r="Q30" i="11"/>
  <c r="Q31" i="11" s="1"/>
  <c r="R22" i="11"/>
  <c r="Q47" i="11"/>
  <c r="AB7" i="10"/>
  <c r="AC7" i="10" s="1"/>
  <c r="I31" i="10"/>
  <c r="C39" i="10"/>
  <c r="C42" i="10" s="1"/>
  <c r="C74" i="10"/>
  <c r="C75" i="10" s="1"/>
  <c r="F46" i="10"/>
  <c r="E46" i="10"/>
  <c r="D34" i="10"/>
  <c r="I20" i="10"/>
  <c r="K5" i="10"/>
  <c r="J30" i="10"/>
  <c r="J31" i="10" s="1"/>
  <c r="K8" i="10"/>
  <c r="L8" i="10" s="1"/>
  <c r="M8" i="10" s="1"/>
  <c r="N8" i="10" s="1"/>
  <c r="O8" i="10" s="1"/>
  <c r="P8" i="10" s="1"/>
  <c r="Q8" i="10" s="1"/>
  <c r="R8" i="10" s="1"/>
  <c r="S8" i="10" s="1"/>
  <c r="T8" i="10" s="1"/>
  <c r="U8" i="10" s="1"/>
  <c r="V8" i="10" s="1"/>
  <c r="W8" i="10" s="1"/>
  <c r="X8" i="10" s="1"/>
  <c r="Y8" i="10" s="1"/>
  <c r="M9" i="10"/>
  <c r="N9" i="10" s="1"/>
  <c r="O9" i="10" s="1"/>
  <c r="P9" i="10" s="1"/>
  <c r="Q9" i="10" s="1"/>
  <c r="R9" i="10" s="1"/>
  <c r="S9" i="10" s="1"/>
  <c r="T9" i="10" s="1"/>
  <c r="U9" i="10" s="1"/>
  <c r="V9" i="10" s="1"/>
  <c r="W9" i="10" s="1"/>
  <c r="X9" i="10" s="1"/>
  <c r="Y9" i="10" s="1"/>
  <c r="Z9" i="10" s="1"/>
  <c r="AA9" i="10" s="1"/>
  <c r="AB9" i="10" s="1"/>
  <c r="AC9" i="10" s="1"/>
  <c r="K24" i="10"/>
  <c r="D20" i="10"/>
  <c r="H20" i="10"/>
  <c r="G30" i="10"/>
  <c r="G31" i="10" s="1"/>
  <c r="L49" i="10"/>
  <c r="M48" i="10"/>
  <c r="E20" i="10"/>
  <c r="D31" i="10"/>
  <c r="F34" i="10"/>
  <c r="F20" i="10"/>
  <c r="E30" i="10"/>
  <c r="F31" i="10" s="1"/>
  <c r="H34" i="10"/>
  <c r="K49" i="10"/>
  <c r="AE76" i="13" l="1"/>
  <c r="AE77" i="13" s="1"/>
  <c r="AF34" i="13"/>
  <c r="AF36" i="13" s="1"/>
  <c r="AF20" i="13"/>
  <c r="AE46" i="13"/>
  <c r="AE47" i="13"/>
  <c r="AE43" i="13" s="1"/>
  <c r="AE49" i="13" s="1"/>
  <c r="AF41" i="13"/>
  <c r="AF45" i="13" s="1"/>
  <c r="AG8" i="13"/>
  <c r="T48" i="11"/>
  <c r="S49" i="11"/>
  <c r="S5" i="11"/>
  <c r="R47" i="11"/>
  <c r="S47" i="11" s="1"/>
  <c r="T47" i="11" s="1"/>
  <c r="U47" i="11" s="1"/>
  <c r="V47" i="11" s="1"/>
  <c r="W47" i="11" s="1"/>
  <c r="X47" i="11" s="1"/>
  <c r="Y47" i="11" s="1"/>
  <c r="Z47" i="11" s="1"/>
  <c r="AA47" i="11" s="1"/>
  <c r="AB47" i="11" s="1"/>
  <c r="AC47" i="11" s="1"/>
  <c r="S22" i="11"/>
  <c r="R30" i="11"/>
  <c r="R31" i="11" s="1"/>
  <c r="F39" i="10"/>
  <c r="F74" i="10"/>
  <c r="F75" i="10" s="1"/>
  <c r="H39" i="10"/>
  <c r="H42" i="10" s="1"/>
  <c r="H74" i="10"/>
  <c r="H75" i="10" s="1"/>
  <c r="D39" i="10"/>
  <c r="D42" i="10" s="1"/>
  <c r="D75" i="10"/>
  <c r="D76" i="10" s="1"/>
  <c r="D74" i="10"/>
  <c r="C76" i="10"/>
  <c r="I39" i="10"/>
  <c r="I42" i="10" s="1"/>
  <c r="I75" i="10"/>
  <c r="I74" i="10"/>
  <c r="L25" i="10"/>
  <c r="M25" i="10" s="1"/>
  <c r="N25" i="10" s="1"/>
  <c r="O25" i="10" s="1"/>
  <c r="P25" i="10" s="1"/>
  <c r="Q25" i="10" s="1"/>
  <c r="R25" i="10" s="1"/>
  <c r="S25" i="10" s="1"/>
  <c r="T25" i="10" s="1"/>
  <c r="U25" i="10" s="1"/>
  <c r="V25" i="10" s="1"/>
  <c r="W25" i="10" s="1"/>
  <c r="X25" i="10" s="1"/>
  <c r="Y25" i="10" s="1"/>
  <c r="Z25" i="10" s="1"/>
  <c r="AA25" i="10" s="1"/>
  <c r="AB25" i="10" s="1"/>
  <c r="AC25" i="10" s="1"/>
  <c r="Z8" i="10"/>
  <c r="L26" i="10"/>
  <c r="M26" i="10" s="1"/>
  <c r="N26" i="10" s="1"/>
  <c r="O26" i="10" s="1"/>
  <c r="P26" i="10" s="1"/>
  <c r="Q26" i="10" s="1"/>
  <c r="R26" i="10" s="1"/>
  <c r="S26" i="10" s="1"/>
  <c r="T26" i="10" s="1"/>
  <c r="U26" i="10" s="1"/>
  <c r="V26" i="10" s="1"/>
  <c r="W26" i="10" s="1"/>
  <c r="X26" i="10" s="1"/>
  <c r="Y26" i="10" s="1"/>
  <c r="Z26" i="10" s="1"/>
  <c r="AA26" i="10" s="1"/>
  <c r="AB26" i="10" s="1"/>
  <c r="AC26" i="10" s="1"/>
  <c r="L15" i="10"/>
  <c r="M15" i="10" s="1"/>
  <c r="N15" i="10" s="1"/>
  <c r="O15" i="10" s="1"/>
  <c r="P15" i="10" s="1"/>
  <c r="Q15" i="10" s="1"/>
  <c r="R15" i="10" s="1"/>
  <c r="S15" i="10" s="1"/>
  <c r="T15" i="10" s="1"/>
  <c r="U15" i="10" s="1"/>
  <c r="V15" i="10" s="1"/>
  <c r="W15" i="10" s="1"/>
  <c r="X15" i="10" s="1"/>
  <c r="Y15" i="10" s="1"/>
  <c r="Z15" i="10" s="1"/>
  <c r="AA15" i="10" s="1"/>
  <c r="AB15" i="10" s="1"/>
  <c r="AC15" i="10" s="1"/>
  <c r="M49" i="10"/>
  <c r="N48" i="10"/>
  <c r="I76" i="10"/>
  <c r="L24" i="10"/>
  <c r="M24" i="10" s="1"/>
  <c r="N24" i="10" s="1"/>
  <c r="O24" i="10" s="1"/>
  <c r="P24" i="10" s="1"/>
  <c r="Q24" i="10" s="1"/>
  <c r="R24" i="10" s="1"/>
  <c r="S24" i="10" s="1"/>
  <c r="T24" i="10" s="1"/>
  <c r="U24" i="10" s="1"/>
  <c r="V24" i="10" s="1"/>
  <c r="W24" i="10" s="1"/>
  <c r="X24" i="10" s="1"/>
  <c r="Y24" i="10" s="1"/>
  <c r="Z24" i="10" s="1"/>
  <c r="AA24" i="10" s="1"/>
  <c r="AB24" i="10" s="1"/>
  <c r="AC24" i="10" s="1"/>
  <c r="M16" i="10"/>
  <c r="N16" i="10" s="1"/>
  <c r="O16" i="10" s="1"/>
  <c r="P16" i="10" s="1"/>
  <c r="Q16" i="10" s="1"/>
  <c r="R16" i="10" s="1"/>
  <c r="S16" i="10" s="1"/>
  <c r="T16" i="10" s="1"/>
  <c r="U16" i="10" s="1"/>
  <c r="V16" i="10" s="1"/>
  <c r="W16" i="10" s="1"/>
  <c r="X16" i="10" s="1"/>
  <c r="Y16" i="10" s="1"/>
  <c r="Z16" i="10" s="1"/>
  <c r="AA16" i="10" s="1"/>
  <c r="AB16" i="10" s="1"/>
  <c r="AC16" i="10" s="1"/>
  <c r="L27" i="10"/>
  <c r="M27" i="10" s="1"/>
  <c r="N27" i="10" s="1"/>
  <c r="O27" i="10" s="1"/>
  <c r="P27" i="10" s="1"/>
  <c r="Q27" i="10" s="1"/>
  <c r="R27" i="10" s="1"/>
  <c r="S27" i="10" s="1"/>
  <c r="T27" i="10" s="1"/>
  <c r="U27" i="10" s="1"/>
  <c r="V27" i="10" s="1"/>
  <c r="W27" i="10" s="1"/>
  <c r="X27" i="10" s="1"/>
  <c r="Y27" i="10" s="1"/>
  <c r="Z27" i="10" s="1"/>
  <c r="AA27" i="10" s="1"/>
  <c r="AB27" i="10" s="1"/>
  <c r="AC27" i="10" s="1"/>
  <c r="F42" i="10"/>
  <c r="H31" i="10"/>
  <c r="L29" i="10"/>
  <c r="M29" i="10" s="1"/>
  <c r="N29" i="10" s="1"/>
  <c r="O29" i="10" s="1"/>
  <c r="P29" i="10" s="1"/>
  <c r="Q29" i="10" s="1"/>
  <c r="R29" i="10" s="1"/>
  <c r="S29" i="10" s="1"/>
  <c r="T29" i="10" s="1"/>
  <c r="U29" i="10" s="1"/>
  <c r="V29" i="10" s="1"/>
  <c r="W29" i="10" s="1"/>
  <c r="X29" i="10" s="1"/>
  <c r="Y29" i="10" s="1"/>
  <c r="Z29" i="10" s="1"/>
  <c r="AA29" i="10" s="1"/>
  <c r="AB29" i="10" s="1"/>
  <c r="AC29" i="10" s="1"/>
  <c r="K47" i="10"/>
  <c r="E34" i="10"/>
  <c r="E31" i="10"/>
  <c r="K30" i="10"/>
  <c r="K31" i="10" s="1"/>
  <c r="L22" i="10"/>
  <c r="L18" i="10"/>
  <c r="M18" i="10" s="1"/>
  <c r="N18" i="10" s="1"/>
  <c r="O18" i="10" s="1"/>
  <c r="P18" i="10" s="1"/>
  <c r="Q18" i="10" s="1"/>
  <c r="R18" i="10" s="1"/>
  <c r="S18" i="10" s="1"/>
  <c r="T18" i="10" s="1"/>
  <c r="U18" i="10" s="1"/>
  <c r="V18" i="10" s="1"/>
  <c r="W18" i="10" s="1"/>
  <c r="X18" i="10" s="1"/>
  <c r="Y18" i="10" s="1"/>
  <c r="Z18" i="10" s="1"/>
  <c r="AA18" i="10" s="1"/>
  <c r="AB18" i="10" s="1"/>
  <c r="AC18" i="10" s="1"/>
  <c r="L23" i="10"/>
  <c r="M23" i="10" s="1"/>
  <c r="N23" i="10" s="1"/>
  <c r="O23" i="10" s="1"/>
  <c r="P23" i="10" s="1"/>
  <c r="Q23" i="10" s="1"/>
  <c r="R23" i="10" s="1"/>
  <c r="S23" i="10" s="1"/>
  <c r="T23" i="10" s="1"/>
  <c r="U23" i="10" s="1"/>
  <c r="V23" i="10" s="1"/>
  <c r="W23" i="10" s="1"/>
  <c r="X23" i="10" s="1"/>
  <c r="Y23" i="10" s="1"/>
  <c r="Z23" i="10" s="1"/>
  <c r="AA23" i="10" s="1"/>
  <c r="AB23" i="10" s="1"/>
  <c r="AC23" i="10" s="1"/>
  <c r="L28" i="10"/>
  <c r="M28" i="10" s="1"/>
  <c r="N28" i="10" s="1"/>
  <c r="O28" i="10" s="1"/>
  <c r="P28" i="10" s="1"/>
  <c r="Q28" i="10" s="1"/>
  <c r="R28" i="10" s="1"/>
  <c r="S28" i="10" s="1"/>
  <c r="T28" i="10" s="1"/>
  <c r="U28" i="10" s="1"/>
  <c r="V28" i="10" s="1"/>
  <c r="W28" i="10" s="1"/>
  <c r="X28" i="10" s="1"/>
  <c r="Y28" i="10" s="1"/>
  <c r="Z28" i="10" s="1"/>
  <c r="AA28" i="10" s="1"/>
  <c r="AB28" i="10" s="1"/>
  <c r="AC28" i="10" s="1"/>
  <c r="G34" i="10"/>
  <c r="J19" i="10"/>
  <c r="K19" i="10"/>
  <c r="L5" i="10"/>
  <c r="AE50" i="13" l="1"/>
  <c r="AF39" i="13"/>
  <c r="AF75" i="13"/>
  <c r="AG7" i="13"/>
  <c r="AG14" i="13"/>
  <c r="AG19" i="13" s="1"/>
  <c r="U48" i="11"/>
  <c r="T49" i="11"/>
  <c r="S30" i="11"/>
  <c r="S31" i="11" s="1"/>
  <c r="T22" i="11"/>
  <c r="T5" i="11"/>
  <c r="E39" i="10"/>
  <c r="E42" i="10" s="1"/>
  <c r="E74" i="10"/>
  <c r="E75" i="10" s="1"/>
  <c r="G39" i="10"/>
  <c r="G74" i="10"/>
  <c r="G75" i="10" s="1"/>
  <c r="AA8" i="10"/>
  <c r="M5" i="10"/>
  <c r="L14" i="10"/>
  <c r="L19" i="10" s="1"/>
  <c r="L47" i="10"/>
  <c r="F76" i="10"/>
  <c r="K34" i="10"/>
  <c r="K20" i="10"/>
  <c r="J34" i="10"/>
  <c r="J20" i="10"/>
  <c r="H76" i="10"/>
  <c r="N49" i="10"/>
  <c r="O48" i="10"/>
  <c r="G42" i="10"/>
  <c r="M22" i="10"/>
  <c r="L30" i="10"/>
  <c r="L31" i="10" s="1"/>
  <c r="I22" i="7"/>
  <c r="AF76" i="13" l="1"/>
  <c r="AF77" i="13" s="1"/>
  <c r="AG34" i="13"/>
  <c r="AG36" i="13" s="1"/>
  <c r="AG20" i="13"/>
  <c r="AF47" i="13"/>
  <c r="AF43" i="13" s="1"/>
  <c r="AF49" i="13" s="1"/>
  <c r="AG41" i="13"/>
  <c r="AG45" i="13" s="1"/>
  <c r="AF46" i="13"/>
  <c r="AH8" i="13"/>
  <c r="U5" i="11"/>
  <c r="U49" i="11"/>
  <c r="V48" i="11"/>
  <c r="T30" i="11"/>
  <c r="T31" i="11" s="1"/>
  <c r="U22" i="11"/>
  <c r="K39" i="10"/>
  <c r="K74" i="10"/>
  <c r="K75" i="10"/>
  <c r="J39" i="10"/>
  <c r="J42" i="10" s="1"/>
  <c r="J46" i="10" s="1"/>
  <c r="J74" i="10"/>
  <c r="J75" i="10" s="1"/>
  <c r="AB8" i="10"/>
  <c r="P48" i="10"/>
  <c r="O49" i="10"/>
  <c r="L34" i="10"/>
  <c r="L20" i="10"/>
  <c r="M30" i="10"/>
  <c r="M31" i="10" s="1"/>
  <c r="N22" i="10"/>
  <c r="M47" i="10"/>
  <c r="M14" i="10"/>
  <c r="M19" i="10" s="1"/>
  <c r="N5" i="10"/>
  <c r="G76" i="10"/>
  <c r="E76" i="10"/>
  <c r="AF50" i="13" l="1"/>
  <c r="AG39" i="13"/>
  <c r="AG75" i="13"/>
  <c r="AH7" i="13"/>
  <c r="AH14" i="13"/>
  <c r="AH19" i="13" s="1"/>
  <c r="V49" i="11"/>
  <c r="W48" i="11"/>
  <c r="U30" i="11"/>
  <c r="U31" i="11" s="1"/>
  <c r="V22" i="11"/>
  <c r="V5" i="11"/>
  <c r="L39" i="10"/>
  <c r="L74" i="10"/>
  <c r="L75" i="10" s="1"/>
  <c r="AC8" i="10"/>
  <c r="O5" i="10"/>
  <c r="N14" i="10"/>
  <c r="N19" i="10" s="1"/>
  <c r="K76" i="10"/>
  <c r="M34" i="10"/>
  <c r="M20" i="10"/>
  <c r="N30" i="10"/>
  <c r="N31" i="10" s="1"/>
  <c r="O22" i="10"/>
  <c r="K42" i="10"/>
  <c r="K44" i="10" s="1"/>
  <c r="K46" i="10" s="1"/>
  <c r="P49" i="10"/>
  <c r="Q48" i="10"/>
  <c r="N47" i="10"/>
  <c r="J76" i="10"/>
  <c r="H37" i="7"/>
  <c r="AG76" i="13" l="1"/>
  <c r="AG77" i="13" s="1"/>
  <c r="AH34" i="13"/>
  <c r="AH36" i="13" s="1"/>
  <c r="AH20" i="13"/>
  <c r="AH41" i="13"/>
  <c r="AH45" i="13" s="1"/>
  <c r="AG47" i="13"/>
  <c r="AG43" i="13" s="1"/>
  <c r="W5" i="11"/>
  <c r="X48" i="11"/>
  <c r="W49" i="11"/>
  <c r="W22" i="11"/>
  <c r="V30" i="11"/>
  <c r="V31" i="11" s="1"/>
  <c r="M39" i="10"/>
  <c r="M74" i="10"/>
  <c r="M75" i="10" s="1"/>
  <c r="O30" i="10"/>
  <c r="O31" i="10" s="1"/>
  <c r="P22" i="10"/>
  <c r="N34" i="10"/>
  <c r="N20" i="10"/>
  <c r="O14" i="10"/>
  <c r="O19" i="10" s="1"/>
  <c r="P5" i="10"/>
  <c r="L41" i="10"/>
  <c r="L42" i="10" s="1"/>
  <c r="L44" i="10" s="1"/>
  <c r="L46" i="10" s="1"/>
  <c r="K45" i="10"/>
  <c r="Q49" i="10"/>
  <c r="R48" i="10"/>
  <c r="L76" i="10"/>
  <c r="O47" i="10"/>
  <c r="P47" i="10" s="1"/>
  <c r="Q47" i="10" s="1"/>
  <c r="R47" i="10" s="1"/>
  <c r="I44" i="7"/>
  <c r="AG49" i="13" l="1"/>
  <c r="AG50" i="13" s="1"/>
  <c r="AG46" i="13"/>
  <c r="AH75" i="13"/>
  <c r="AH39" i="13"/>
  <c r="X22" i="11"/>
  <c r="W30" i="11"/>
  <c r="W31" i="11" s="1"/>
  <c r="Y48" i="11"/>
  <c r="X49" i="11"/>
  <c r="X5" i="11"/>
  <c r="N39" i="10"/>
  <c r="N74" i="10"/>
  <c r="N75" i="10" s="1"/>
  <c r="M41" i="10"/>
  <c r="M42" i="10" s="1"/>
  <c r="M44" i="10" s="1"/>
  <c r="M46" i="10" s="1"/>
  <c r="L45" i="10"/>
  <c r="Q5" i="10"/>
  <c r="P14" i="10"/>
  <c r="P19" i="10" s="1"/>
  <c r="O34" i="10"/>
  <c r="O20" i="10"/>
  <c r="P30" i="10"/>
  <c r="P31" i="10" s="1"/>
  <c r="Q22" i="10"/>
  <c r="M76" i="10"/>
  <c r="S47" i="10"/>
  <c r="T47" i="10" s="1"/>
  <c r="U47" i="10" s="1"/>
  <c r="V47" i="10" s="1"/>
  <c r="W47" i="10" s="1"/>
  <c r="X47" i="10" s="1"/>
  <c r="Y47" i="10" s="1"/>
  <c r="Z47" i="10" s="1"/>
  <c r="AA47" i="10" s="1"/>
  <c r="AB47" i="10" s="1"/>
  <c r="AC47" i="10" s="1"/>
  <c r="R49" i="10"/>
  <c r="S48" i="10"/>
  <c r="J22" i="7"/>
  <c r="AH47" i="13" l="1"/>
  <c r="AH43" i="13" s="1"/>
  <c r="AH76" i="13"/>
  <c r="AH77" i="13" s="1"/>
  <c r="Y5" i="11"/>
  <c r="Y49" i="11"/>
  <c r="Z48" i="11"/>
  <c r="X30" i="11"/>
  <c r="X31" i="11" s="1"/>
  <c r="Y22" i="11"/>
  <c r="O39" i="10"/>
  <c r="O74" i="10"/>
  <c r="O75" i="10" s="1"/>
  <c r="N41" i="10"/>
  <c r="N42" i="10" s="1"/>
  <c r="N44" i="10" s="1"/>
  <c r="N46" i="10" s="1"/>
  <c r="M45" i="10"/>
  <c r="N76" i="10"/>
  <c r="Q14" i="10"/>
  <c r="Q19" i="10" s="1"/>
  <c r="R5" i="10"/>
  <c r="Q30" i="10"/>
  <c r="Q31" i="10" s="1"/>
  <c r="R22" i="10"/>
  <c r="T48" i="10"/>
  <c r="S49" i="10"/>
  <c r="P34" i="10"/>
  <c r="P20" i="10"/>
  <c r="H48" i="7"/>
  <c r="G48" i="7"/>
  <c r="F48" i="7"/>
  <c r="E48" i="7"/>
  <c r="D48" i="7"/>
  <c r="C48" i="7"/>
  <c r="I48" i="7"/>
  <c r="G46" i="7"/>
  <c r="F46" i="7"/>
  <c r="E46" i="7"/>
  <c r="D46" i="7"/>
  <c r="H45" i="7"/>
  <c r="E44" i="7"/>
  <c r="C37" i="7"/>
  <c r="D30" i="7"/>
  <c r="C27" i="7"/>
  <c r="G25" i="7"/>
  <c r="F25" i="7"/>
  <c r="E25" i="7"/>
  <c r="C25" i="7"/>
  <c r="I24" i="7"/>
  <c r="I30" i="7" s="1"/>
  <c r="H22" i="7"/>
  <c r="H30" i="7" s="1"/>
  <c r="G22" i="7"/>
  <c r="F22" i="7"/>
  <c r="E22" i="7"/>
  <c r="C22" i="7"/>
  <c r="C30" i="7" s="1"/>
  <c r="H19" i="7"/>
  <c r="G19" i="7"/>
  <c r="F19" i="7"/>
  <c r="E19" i="7"/>
  <c r="D19" i="7"/>
  <c r="C18" i="7"/>
  <c r="C19" i="7" s="1"/>
  <c r="I19" i="7"/>
  <c r="J9" i="7"/>
  <c r="C8" i="7"/>
  <c r="D7" i="7" s="1"/>
  <c r="H7" i="7"/>
  <c r="I7" i="7" s="1"/>
  <c r="I8" i="7" s="1"/>
  <c r="D5" i="7"/>
  <c r="E5" i="7" s="1"/>
  <c r="F5" i="7" s="1"/>
  <c r="G5" i="7" s="1"/>
  <c r="H5" i="7" s="1"/>
  <c r="I5" i="7" s="1"/>
  <c r="J5" i="7" s="1"/>
  <c r="K5" i="7" s="1"/>
  <c r="L5" i="7" s="1"/>
  <c r="M5" i="7" s="1"/>
  <c r="N5" i="7" s="1"/>
  <c r="O5" i="7" s="1"/>
  <c r="G3" i="7"/>
  <c r="H3" i="7" s="1"/>
  <c r="I3" i="7" s="1"/>
  <c r="J3" i="7" s="1"/>
  <c r="K3" i="7" s="1"/>
  <c r="L3" i="7" s="1"/>
  <c r="M3" i="7" s="1"/>
  <c r="N3" i="7" s="1"/>
  <c r="O3" i="7" s="1"/>
  <c r="P3" i="7" s="1"/>
  <c r="Q3" i="7" s="1"/>
  <c r="R3" i="7" s="1"/>
  <c r="S3" i="7" s="1"/>
  <c r="T3" i="7" s="1"/>
  <c r="U3" i="7" s="1"/>
  <c r="V3" i="7" s="1"/>
  <c r="W3" i="7" s="1"/>
  <c r="X3" i="7" s="1"/>
  <c r="AH49" i="13" l="1"/>
  <c r="AH50" i="13" s="1"/>
  <c r="AH46" i="13"/>
  <c r="Z5" i="11"/>
  <c r="Y30" i="11"/>
  <c r="Y31" i="11" s="1"/>
  <c r="Z22" i="11"/>
  <c r="Z49" i="11"/>
  <c r="AA48" i="11"/>
  <c r="I31" i="7"/>
  <c r="F30" i="7"/>
  <c r="P39" i="10"/>
  <c r="P74" i="10"/>
  <c r="P75" i="10" s="1"/>
  <c r="N45" i="10"/>
  <c r="O41" i="10"/>
  <c r="O42" i="10" s="1"/>
  <c r="O44" i="10" s="1"/>
  <c r="O46" i="10" s="1"/>
  <c r="R30" i="10"/>
  <c r="R31" i="10" s="1"/>
  <c r="S22" i="10"/>
  <c r="Q34" i="10"/>
  <c r="Q20" i="10"/>
  <c r="O76" i="10"/>
  <c r="T49" i="10"/>
  <c r="U48" i="10"/>
  <c r="S5" i="10"/>
  <c r="R14" i="10"/>
  <c r="R19" i="10" s="1"/>
  <c r="H34" i="7"/>
  <c r="H39" i="7" s="1"/>
  <c r="H42" i="7" s="1"/>
  <c r="G30" i="7"/>
  <c r="G34" i="7" s="1"/>
  <c r="G39" i="7" s="1"/>
  <c r="G42" i="7" s="1"/>
  <c r="F34" i="7"/>
  <c r="F39" i="7" s="1"/>
  <c r="F73" i="7" s="1"/>
  <c r="F74" i="7" s="1"/>
  <c r="E30" i="7"/>
  <c r="E31" i="7" s="1"/>
  <c r="G31" i="7"/>
  <c r="D31" i="7"/>
  <c r="J15" i="7"/>
  <c r="K9" i="7"/>
  <c r="D34" i="7"/>
  <c r="D39" i="7" s="1"/>
  <c r="D42" i="7" s="1"/>
  <c r="J24" i="7"/>
  <c r="I34" i="7"/>
  <c r="I39" i="7" s="1"/>
  <c r="I73" i="7" s="1"/>
  <c r="C34" i="7"/>
  <c r="C39" i="7" s="1"/>
  <c r="D20" i="7"/>
  <c r="G20" i="7"/>
  <c r="H20" i="7"/>
  <c r="J7" i="7"/>
  <c r="K7" i="7" s="1"/>
  <c r="L7" i="7" s="1"/>
  <c r="M7" i="7" s="1"/>
  <c r="N7" i="7" s="1"/>
  <c r="O7" i="7" s="1"/>
  <c r="Q7" i="7" s="1"/>
  <c r="R7" i="7" s="1"/>
  <c r="S7" i="7" s="1"/>
  <c r="T7" i="7" s="1"/>
  <c r="U7" i="7" s="1"/>
  <c r="V7" i="7" s="1"/>
  <c r="W7" i="7" s="1"/>
  <c r="X7" i="7" s="1"/>
  <c r="K27" i="7"/>
  <c r="J28" i="7"/>
  <c r="K28" i="7" s="1"/>
  <c r="F42" i="7"/>
  <c r="E20" i="7"/>
  <c r="I20" i="7"/>
  <c r="H31" i="7"/>
  <c r="F20" i="7"/>
  <c r="J46" i="7"/>
  <c r="K46" i="7" s="1"/>
  <c r="J47" i="7"/>
  <c r="C37" i="6"/>
  <c r="E34" i="7" l="1"/>
  <c r="E39" i="7" s="1"/>
  <c r="F31" i="7"/>
  <c r="AA5" i="11"/>
  <c r="AB48" i="11"/>
  <c r="AA49" i="11"/>
  <c r="Z30" i="11"/>
  <c r="Z31" i="11" s="1"/>
  <c r="AA22" i="11"/>
  <c r="G73" i="7"/>
  <c r="H73" i="7"/>
  <c r="H74" i="7" s="1"/>
  <c r="K18" i="7"/>
  <c r="K26" i="7"/>
  <c r="K25" i="7"/>
  <c r="Q39" i="10"/>
  <c r="Q74" i="10"/>
  <c r="Q75" i="10" s="1"/>
  <c r="R34" i="10"/>
  <c r="R20" i="10"/>
  <c r="S14" i="10"/>
  <c r="S19" i="10" s="1"/>
  <c r="T5" i="10"/>
  <c r="P76" i="10"/>
  <c r="U49" i="10"/>
  <c r="V48" i="10"/>
  <c r="S30" i="10"/>
  <c r="S31" i="10" s="1"/>
  <c r="T22" i="10"/>
  <c r="P41" i="10"/>
  <c r="P42" i="10" s="1"/>
  <c r="P44" i="10" s="1"/>
  <c r="P46" i="10" s="1"/>
  <c r="O45" i="10"/>
  <c r="K24" i="7"/>
  <c r="K15" i="7"/>
  <c r="K29" i="7"/>
  <c r="D73" i="7"/>
  <c r="D74" i="7" s="1"/>
  <c r="D75" i="7" s="1"/>
  <c r="L9" i="7"/>
  <c r="M9" i="7" s="1"/>
  <c r="N9" i="7" s="1"/>
  <c r="O9" i="7" s="1"/>
  <c r="P9" i="7" s="1"/>
  <c r="Q9" i="7" s="1"/>
  <c r="R9" i="7" s="1"/>
  <c r="S9" i="7" s="1"/>
  <c r="T9" i="7" s="1"/>
  <c r="U9" i="7" s="1"/>
  <c r="V9" i="7" s="1"/>
  <c r="W9" i="7" s="1"/>
  <c r="X9" i="7" s="1"/>
  <c r="K16" i="7"/>
  <c r="K23" i="7"/>
  <c r="I42" i="7"/>
  <c r="I45" i="7" s="1"/>
  <c r="L46" i="7"/>
  <c r="M46" i="7" s="1"/>
  <c r="J30" i="7"/>
  <c r="J31" i="7" s="1"/>
  <c r="K22" i="7"/>
  <c r="C73" i="7"/>
  <c r="C74" i="7" s="1"/>
  <c r="C42" i="7"/>
  <c r="J48" i="7"/>
  <c r="K47" i="7"/>
  <c r="F75" i="7"/>
  <c r="H75" i="7"/>
  <c r="J8" i="7"/>
  <c r="G74" i="7"/>
  <c r="G75" i="7" s="1"/>
  <c r="I74" i="7"/>
  <c r="I75" i="7" s="1"/>
  <c r="H45" i="6"/>
  <c r="L24" i="7" l="1"/>
  <c r="M24" i="7" s="1"/>
  <c r="N24" i="7" s="1"/>
  <c r="O24" i="7" s="1"/>
  <c r="P24" i="7" s="1"/>
  <c r="Q24" i="7" s="1"/>
  <c r="R24" i="7" s="1"/>
  <c r="S24" i="7" s="1"/>
  <c r="T24" i="7" s="1"/>
  <c r="U24" i="7" s="1"/>
  <c r="V24" i="7" s="1"/>
  <c r="W24" i="7" s="1"/>
  <c r="X24" i="7" s="1"/>
  <c r="E73" i="7"/>
  <c r="E42" i="7"/>
  <c r="AB22" i="11"/>
  <c r="AA30" i="11"/>
  <c r="AA31" i="11" s="1"/>
  <c r="AC48" i="11"/>
  <c r="AC49" i="11" s="1"/>
  <c r="AB49" i="11"/>
  <c r="AB5" i="11"/>
  <c r="L27" i="7"/>
  <c r="M27" i="7" s="1"/>
  <c r="N27" i="7" s="1"/>
  <c r="O27" i="7" s="1"/>
  <c r="P27" i="7" s="1"/>
  <c r="Q27" i="7" s="1"/>
  <c r="R27" i="7" s="1"/>
  <c r="S27" i="7" s="1"/>
  <c r="T27" i="7" s="1"/>
  <c r="U27" i="7" s="1"/>
  <c r="V27" i="7" s="1"/>
  <c r="W27" i="7" s="1"/>
  <c r="X27" i="7" s="1"/>
  <c r="L28" i="7"/>
  <c r="M28" i="7" s="1"/>
  <c r="N28" i="7" s="1"/>
  <c r="O28" i="7" s="1"/>
  <c r="P28" i="7" s="1"/>
  <c r="Q28" i="7" s="1"/>
  <c r="R28" i="7" s="1"/>
  <c r="S28" i="7" s="1"/>
  <c r="T28" i="7" s="1"/>
  <c r="U28" i="7" s="1"/>
  <c r="V28" i="7" s="1"/>
  <c r="W28" i="7" s="1"/>
  <c r="X28" i="7" s="1"/>
  <c r="L26" i="7"/>
  <c r="M26" i="7" s="1"/>
  <c r="N26" i="7" s="1"/>
  <c r="O26" i="7" s="1"/>
  <c r="P26" i="7" s="1"/>
  <c r="Q26" i="7" s="1"/>
  <c r="R26" i="7" s="1"/>
  <c r="S26" i="7" s="1"/>
  <c r="T26" i="7" s="1"/>
  <c r="U26" i="7" s="1"/>
  <c r="V26" i="7" s="1"/>
  <c r="W26" i="7" s="1"/>
  <c r="X26" i="7" s="1"/>
  <c r="L23" i="7"/>
  <c r="M23" i="7" s="1"/>
  <c r="N23" i="7" s="1"/>
  <c r="O23" i="7" s="1"/>
  <c r="P23" i="7" s="1"/>
  <c r="Q23" i="7" s="1"/>
  <c r="R23" i="7" s="1"/>
  <c r="S23" i="7" s="1"/>
  <c r="T23" i="7" s="1"/>
  <c r="U23" i="7" s="1"/>
  <c r="V23" i="7" s="1"/>
  <c r="W23" i="7" s="1"/>
  <c r="X23" i="7" s="1"/>
  <c r="L25" i="7"/>
  <c r="M25" i="7" s="1"/>
  <c r="N25" i="7" s="1"/>
  <c r="O25" i="7" s="1"/>
  <c r="P25" i="7" s="1"/>
  <c r="Q25" i="7" s="1"/>
  <c r="R25" i="7" s="1"/>
  <c r="S25" i="7" s="1"/>
  <c r="T25" i="7" s="1"/>
  <c r="U25" i="7" s="1"/>
  <c r="V25" i="7" s="1"/>
  <c r="W25" i="7" s="1"/>
  <c r="X25" i="7" s="1"/>
  <c r="R39" i="10"/>
  <c r="R74" i="10"/>
  <c r="R75" i="10" s="1"/>
  <c r="Q41" i="10"/>
  <c r="Q42" i="10" s="1"/>
  <c r="Q44" i="10" s="1"/>
  <c r="Q46" i="10" s="1"/>
  <c r="P45" i="10"/>
  <c r="U22" i="10"/>
  <c r="T30" i="10"/>
  <c r="T31" i="10" s="1"/>
  <c r="U5" i="10"/>
  <c r="T14" i="10"/>
  <c r="T19" i="10" s="1"/>
  <c r="Q76" i="10"/>
  <c r="S34" i="10"/>
  <c r="S20" i="10"/>
  <c r="V49" i="10"/>
  <c r="W48" i="10"/>
  <c r="L29" i="7"/>
  <c r="M29" i="7" s="1"/>
  <c r="N29" i="7" s="1"/>
  <c r="O29" i="7" s="1"/>
  <c r="P29" i="7" s="1"/>
  <c r="Q29" i="7" s="1"/>
  <c r="R29" i="7" s="1"/>
  <c r="S29" i="7" s="1"/>
  <c r="T29" i="7" s="1"/>
  <c r="U29" i="7" s="1"/>
  <c r="V29" i="7" s="1"/>
  <c r="W29" i="7" s="1"/>
  <c r="X29" i="7" s="1"/>
  <c r="L16" i="7"/>
  <c r="M16" i="7" s="1"/>
  <c r="N16" i="7" s="1"/>
  <c r="O16" i="7" s="1"/>
  <c r="P16" i="7" s="1"/>
  <c r="Q16" i="7" s="1"/>
  <c r="R16" i="7" s="1"/>
  <c r="S16" i="7" s="1"/>
  <c r="T16" i="7" s="1"/>
  <c r="U16" i="7" s="1"/>
  <c r="V16" i="7" s="1"/>
  <c r="W16" i="7" s="1"/>
  <c r="X16" i="7" s="1"/>
  <c r="L15" i="7"/>
  <c r="M15" i="7" s="1"/>
  <c r="N15" i="7" s="1"/>
  <c r="O15" i="7" s="1"/>
  <c r="P15" i="7" s="1"/>
  <c r="Q15" i="7" s="1"/>
  <c r="R15" i="7" s="1"/>
  <c r="S15" i="7" s="1"/>
  <c r="T15" i="7" s="1"/>
  <c r="U15" i="7" s="1"/>
  <c r="V15" i="7" s="1"/>
  <c r="W15" i="7" s="1"/>
  <c r="X15" i="7" s="1"/>
  <c r="L18" i="7"/>
  <c r="M18" i="7" s="1"/>
  <c r="N18" i="7" s="1"/>
  <c r="O18" i="7" s="1"/>
  <c r="P18" i="7" s="1"/>
  <c r="Q18" i="7" s="1"/>
  <c r="R18" i="7" s="1"/>
  <c r="S18" i="7" s="1"/>
  <c r="T18" i="7" s="1"/>
  <c r="U18" i="7" s="1"/>
  <c r="V18" i="7" s="1"/>
  <c r="W18" i="7" s="1"/>
  <c r="X18" i="7" s="1"/>
  <c r="K8" i="7"/>
  <c r="J14" i="7"/>
  <c r="N46" i="7"/>
  <c r="O46" i="7" s="1"/>
  <c r="C75" i="7"/>
  <c r="K30" i="7"/>
  <c r="K31" i="7" s="1"/>
  <c r="L22" i="7"/>
  <c r="L47" i="7"/>
  <c r="K48" i="7"/>
  <c r="H48" i="6"/>
  <c r="H22" i="6"/>
  <c r="E74" i="7" l="1"/>
  <c r="E75" i="7" s="1"/>
  <c r="AC5" i="11"/>
  <c r="AB30" i="11"/>
  <c r="AB31" i="11" s="1"/>
  <c r="AC22" i="11"/>
  <c r="AC30" i="11" s="1"/>
  <c r="S39" i="10"/>
  <c r="S74" i="10"/>
  <c r="S75" i="10" s="1"/>
  <c r="R41" i="10"/>
  <c r="R42" i="10" s="1"/>
  <c r="R44" i="10" s="1"/>
  <c r="R46" i="10" s="1"/>
  <c r="Q45" i="10"/>
  <c r="X48" i="10"/>
  <c r="W49" i="10"/>
  <c r="U30" i="10"/>
  <c r="U31" i="10" s="1"/>
  <c r="V22" i="10"/>
  <c r="T34" i="10"/>
  <c r="T20" i="10"/>
  <c r="R76" i="10"/>
  <c r="U14" i="10"/>
  <c r="U19" i="10" s="1"/>
  <c r="V5" i="10"/>
  <c r="L48" i="7"/>
  <c r="M47" i="7"/>
  <c r="P46" i="7"/>
  <c r="Q46" i="7" s="1"/>
  <c r="J19" i="7"/>
  <c r="L30" i="7"/>
  <c r="L31" i="7" s="1"/>
  <c r="M22" i="7"/>
  <c r="L8" i="7"/>
  <c r="K14" i="7"/>
  <c r="I23" i="6"/>
  <c r="I22" i="6"/>
  <c r="G48" i="6"/>
  <c r="F48" i="6"/>
  <c r="E48" i="6"/>
  <c r="D48" i="6"/>
  <c r="C48" i="6"/>
  <c r="I47" i="6"/>
  <c r="I48" i="6" s="1"/>
  <c r="G46" i="6"/>
  <c r="F46" i="6"/>
  <c r="E46" i="6"/>
  <c r="D46" i="6"/>
  <c r="E44" i="6"/>
  <c r="D30" i="6"/>
  <c r="C27" i="6"/>
  <c r="G25" i="6"/>
  <c r="F25" i="6"/>
  <c r="E25" i="6"/>
  <c r="C25" i="6"/>
  <c r="G22" i="6"/>
  <c r="G30" i="6" s="1"/>
  <c r="F22" i="6"/>
  <c r="F30" i="6" s="1"/>
  <c r="E22" i="6"/>
  <c r="C22" i="6"/>
  <c r="C30" i="6" s="1"/>
  <c r="H19" i="6"/>
  <c r="G19" i="6"/>
  <c r="F19" i="6"/>
  <c r="E19" i="6"/>
  <c r="D19" i="6"/>
  <c r="C18" i="6"/>
  <c r="C19" i="6" s="1"/>
  <c r="C8" i="6"/>
  <c r="D7" i="6" s="1"/>
  <c r="H7" i="6"/>
  <c r="I7" i="6" s="1"/>
  <c r="D5" i="6"/>
  <c r="E5" i="6" s="1"/>
  <c r="F5" i="6" s="1"/>
  <c r="G5" i="6" s="1"/>
  <c r="H5" i="6" s="1"/>
  <c r="I5" i="6" s="1"/>
  <c r="G3" i="6"/>
  <c r="H3" i="6" s="1"/>
  <c r="I3" i="6" s="1"/>
  <c r="J3" i="6" s="1"/>
  <c r="K3" i="6" s="1"/>
  <c r="L3" i="6" s="1"/>
  <c r="M3" i="6" s="1"/>
  <c r="N3" i="6" s="1"/>
  <c r="O3" i="6" s="1"/>
  <c r="P3" i="6" s="1"/>
  <c r="Q3" i="6" s="1"/>
  <c r="R3" i="6" s="1"/>
  <c r="S3" i="6" s="1"/>
  <c r="T3" i="6" s="1"/>
  <c r="U3" i="6" s="1"/>
  <c r="V3" i="6" s="1"/>
  <c r="W3" i="6" s="1"/>
  <c r="X3" i="6" s="1"/>
  <c r="AC31" i="11" l="1"/>
  <c r="T39" i="10"/>
  <c r="T74" i="10"/>
  <c r="T75" i="10" s="1"/>
  <c r="X49" i="10"/>
  <c r="Y48" i="10"/>
  <c r="R45" i="10"/>
  <c r="S41" i="10"/>
  <c r="S42" i="10" s="1"/>
  <c r="S44" i="10" s="1"/>
  <c r="S46" i="10" s="1"/>
  <c r="S76" i="10"/>
  <c r="V14" i="10"/>
  <c r="V19" i="10" s="1"/>
  <c r="W5" i="10"/>
  <c r="U34" i="10"/>
  <c r="U20" i="10"/>
  <c r="V30" i="10"/>
  <c r="V31" i="10" s="1"/>
  <c r="W22" i="10"/>
  <c r="K19" i="7"/>
  <c r="J34" i="7"/>
  <c r="J39" i="7" s="1"/>
  <c r="J20" i="7"/>
  <c r="M8" i="7"/>
  <c r="L14" i="7"/>
  <c r="M30" i="7"/>
  <c r="M31" i="7" s="1"/>
  <c r="N22" i="7"/>
  <c r="R46" i="7"/>
  <c r="S46" i="7" s="1"/>
  <c r="M48" i="7"/>
  <c r="N47" i="7"/>
  <c r="E30" i="6"/>
  <c r="E34" i="6" s="1"/>
  <c r="E39" i="6" s="1"/>
  <c r="F34" i="6"/>
  <c r="F39" i="6" s="1"/>
  <c r="D31" i="6"/>
  <c r="E20" i="6"/>
  <c r="D34" i="6"/>
  <c r="D39" i="6" s="1"/>
  <c r="C34" i="6"/>
  <c r="C39" i="6" s="1"/>
  <c r="G34" i="6"/>
  <c r="G39" i="6" s="1"/>
  <c r="H20" i="6"/>
  <c r="J47" i="6"/>
  <c r="J48" i="6" s="1"/>
  <c r="J5" i="6"/>
  <c r="J7" i="6"/>
  <c r="K7" i="6" s="1"/>
  <c r="L7" i="6" s="1"/>
  <c r="M7" i="6" s="1"/>
  <c r="N7" i="6" s="1"/>
  <c r="O7" i="6" s="1"/>
  <c r="P7" i="6" s="1"/>
  <c r="Q7" i="6" s="1"/>
  <c r="R7" i="6" s="1"/>
  <c r="S7" i="6" s="1"/>
  <c r="T7" i="6" s="1"/>
  <c r="U7" i="6" s="1"/>
  <c r="V7" i="6" s="1"/>
  <c r="W7" i="6" s="1"/>
  <c r="X7" i="6" s="1"/>
  <c r="I8" i="6"/>
  <c r="D20" i="6"/>
  <c r="I24" i="6"/>
  <c r="G31" i="6"/>
  <c r="I15" i="6"/>
  <c r="J9" i="6"/>
  <c r="K9" i="6" s="1"/>
  <c r="L9" i="6" s="1"/>
  <c r="M9" i="6" s="1"/>
  <c r="N9" i="6" s="1"/>
  <c r="O9" i="6" s="1"/>
  <c r="P9" i="6" s="1"/>
  <c r="Q9" i="6" s="1"/>
  <c r="R9" i="6" s="1"/>
  <c r="S9" i="6" s="1"/>
  <c r="T9" i="6" s="1"/>
  <c r="U9" i="6" s="1"/>
  <c r="V9" i="6" s="1"/>
  <c r="W9" i="6" s="1"/>
  <c r="X9" i="6" s="1"/>
  <c r="F20" i="6"/>
  <c r="H30" i="6"/>
  <c r="H34" i="6" s="1"/>
  <c r="H39" i="6" s="1"/>
  <c r="G20" i="6"/>
  <c r="G25" i="5"/>
  <c r="G22" i="5"/>
  <c r="E31" i="6" l="1"/>
  <c r="F31" i="6"/>
  <c r="U39" i="10"/>
  <c r="U74" i="10"/>
  <c r="U75" i="10" s="1"/>
  <c r="Z48" i="10"/>
  <c r="Y49" i="10"/>
  <c r="T41" i="10"/>
  <c r="T42" i="10" s="1"/>
  <c r="T44" i="10" s="1"/>
  <c r="T46" i="10" s="1"/>
  <c r="S45" i="10"/>
  <c r="W30" i="10"/>
  <c r="W31" i="10" s="1"/>
  <c r="X22" i="10"/>
  <c r="V34" i="10"/>
  <c r="V20" i="10"/>
  <c r="T76" i="10"/>
  <c r="W14" i="10"/>
  <c r="W19" i="10" s="1"/>
  <c r="X5" i="10"/>
  <c r="P5" i="7"/>
  <c r="J73" i="7"/>
  <c r="J42" i="7"/>
  <c r="J44" i="7" s="1"/>
  <c r="L19" i="7"/>
  <c r="T46" i="7"/>
  <c r="U46" i="7" s="1"/>
  <c r="V46" i="7" s="1"/>
  <c r="W46" i="7" s="1"/>
  <c r="X46" i="7" s="1"/>
  <c r="N8" i="7"/>
  <c r="M14" i="7"/>
  <c r="N48" i="7"/>
  <c r="O47" i="7"/>
  <c r="N30" i="7"/>
  <c r="N31" i="7" s="1"/>
  <c r="O22" i="7"/>
  <c r="K34" i="7"/>
  <c r="K39" i="7" s="1"/>
  <c r="K20" i="7"/>
  <c r="H42" i="6"/>
  <c r="H73" i="6"/>
  <c r="H74" i="6" s="1"/>
  <c r="G42" i="6"/>
  <c r="G73" i="6"/>
  <c r="C42" i="6"/>
  <c r="C73" i="6"/>
  <c r="C74" i="6" s="1"/>
  <c r="C75" i="6" s="1"/>
  <c r="F42" i="6"/>
  <c r="F74" i="6"/>
  <c r="F73" i="6"/>
  <c r="D42" i="6"/>
  <c r="D73" i="6"/>
  <c r="D74" i="6"/>
  <c r="E42" i="6"/>
  <c r="E73" i="6"/>
  <c r="J8" i="6"/>
  <c r="K8" i="6" s="1"/>
  <c r="L8" i="6" s="1"/>
  <c r="M8" i="6" s="1"/>
  <c r="N8" i="6" s="1"/>
  <c r="O8" i="6" s="1"/>
  <c r="P8" i="6" s="1"/>
  <c r="Q8" i="6" s="1"/>
  <c r="R8" i="6" s="1"/>
  <c r="S8" i="6" s="1"/>
  <c r="T8" i="6" s="1"/>
  <c r="U8" i="6" s="1"/>
  <c r="V8" i="6" s="1"/>
  <c r="W8" i="6" s="1"/>
  <c r="X8" i="6" s="1"/>
  <c r="K47" i="6"/>
  <c r="K48" i="6" s="1"/>
  <c r="J18" i="6"/>
  <c r="K18" i="6" s="1"/>
  <c r="L18" i="6" s="1"/>
  <c r="M18" i="6" s="1"/>
  <c r="N18" i="6" s="1"/>
  <c r="O18" i="6" s="1"/>
  <c r="P18" i="6" s="1"/>
  <c r="Q18" i="6" s="1"/>
  <c r="R18" i="6" s="1"/>
  <c r="S18" i="6" s="1"/>
  <c r="T18" i="6" s="1"/>
  <c r="U18" i="6" s="1"/>
  <c r="V18" i="6" s="1"/>
  <c r="W18" i="6" s="1"/>
  <c r="X18" i="6" s="1"/>
  <c r="J28" i="6"/>
  <c r="K28" i="6" s="1"/>
  <c r="L28" i="6" s="1"/>
  <c r="M28" i="6" s="1"/>
  <c r="N28" i="6" s="1"/>
  <c r="O28" i="6" s="1"/>
  <c r="P28" i="6" s="1"/>
  <c r="Q28" i="6" s="1"/>
  <c r="R28" i="6" s="1"/>
  <c r="S28" i="6" s="1"/>
  <c r="T28" i="6" s="1"/>
  <c r="U28" i="6" s="1"/>
  <c r="V28" i="6" s="1"/>
  <c r="W28" i="6" s="1"/>
  <c r="X28" i="6" s="1"/>
  <c r="J24" i="6"/>
  <c r="K24" i="6" s="1"/>
  <c r="L24" i="6" s="1"/>
  <c r="M24" i="6" s="1"/>
  <c r="N24" i="6" s="1"/>
  <c r="O24" i="6" s="1"/>
  <c r="P24" i="6" s="1"/>
  <c r="Q24" i="6" s="1"/>
  <c r="R24" i="6" s="1"/>
  <c r="S24" i="6" s="1"/>
  <c r="T24" i="6" s="1"/>
  <c r="U24" i="6" s="1"/>
  <c r="V24" i="6" s="1"/>
  <c r="W24" i="6" s="1"/>
  <c r="X24" i="6" s="1"/>
  <c r="J15" i="6"/>
  <c r="K15" i="6" s="1"/>
  <c r="L15" i="6" s="1"/>
  <c r="M15" i="6" s="1"/>
  <c r="N15" i="6" s="1"/>
  <c r="O15" i="6" s="1"/>
  <c r="P15" i="6" s="1"/>
  <c r="Q15" i="6" s="1"/>
  <c r="R15" i="6" s="1"/>
  <c r="S15" i="6" s="1"/>
  <c r="T15" i="6" s="1"/>
  <c r="U15" i="6" s="1"/>
  <c r="V15" i="6" s="1"/>
  <c r="W15" i="6" s="1"/>
  <c r="X15" i="6" s="1"/>
  <c r="J23" i="6"/>
  <c r="K23" i="6" s="1"/>
  <c r="L23" i="6" s="1"/>
  <c r="M23" i="6" s="1"/>
  <c r="N23" i="6" s="1"/>
  <c r="O23" i="6" s="1"/>
  <c r="P23" i="6" s="1"/>
  <c r="Q23" i="6" s="1"/>
  <c r="R23" i="6" s="1"/>
  <c r="S23" i="6" s="1"/>
  <c r="T23" i="6" s="1"/>
  <c r="U23" i="6" s="1"/>
  <c r="V23" i="6" s="1"/>
  <c r="W23" i="6" s="1"/>
  <c r="X23" i="6" s="1"/>
  <c r="J27" i="6"/>
  <c r="K27" i="6" s="1"/>
  <c r="L27" i="6" s="1"/>
  <c r="M27" i="6" s="1"/>
  <c r="N27" i="6" s="1"/>
  <c r="O27" i="6" s="1"/>
  <c r="P27" i="6" s="1"/>
  <c r="Q27" i="6" s="1"/>
  <c r="R27" i="6" s="1"/>
  <c r="S27" i="6" s="1"/>
  <c r="T27" i="6" s="1"/>
  <c r="U27" i="6" s="1"/>
  <c r="V27" i="6" s="1"/>
  <c r="W27" i="6" s="1"/>
  <c r="X27" i="6" s="1"/>
  <c r="J25" i="6"/>
  <c r="K25" i="6" s="1"/>
  <c r="L25" i="6" s="1"/>
  <c r="M25" i="6" s="1"/>
  <c r="N25" i="6" s="1"/>
  <c r="O25" i="6" s="1"/>
  <c r="P25" i="6" s="1"/>
  <c r="Q25" i="6" s="1"/>
  <c r="R25" i="6" s="1"/>
  <c r="S25" i="6" s="1"/>
  <c r="T25" i="6" s="1"/>
  <c r="U25" i="6" s="1"/>
  <c r="V25" i="6" s="1"/>
  <c r="W25" i="6" s="1"/>
  <c r="X25" i="6" s="1"/>
  <c r="L47" i="6"/>
  <c r="H31" i="6"/>
  <c r="I30" i="6"/>
  <c r="J22" i="6"/>
  <c r="J46" i="6"/>
  <c r="J29" i="6"/>
  <c r="K29" i="6" s="1"/>
  <c r="L29" i="6" s="1"/>
  <c r="M29" i="6" s="1"/>
  <c r="N29" i="6" s="1"/>
  <c r="O29" i="6" s="1"/>
  <c r="P29" i="6" s="1"/>
  <c r="Q29" i="6" s="1"/>
  <c r="R29" i="6" s="1"/>
  <c r="S29" i="6" s="1"/>
  <c r="T29" i="6" s="1"/>
  <c r="U29" i="6" s="1"/>
  <c r="V29" i="6" s="1"/>
  <c r="W29" i="6" s="1"/>
  <c r="X29" i="6" s="1"/>
  <c r="K5" i="6"/>
  <c r="H23" i="5"/>
  <c r="I45" i="5"/>
  <c r="I46" i="5" s="1"/>
  <c r="H46" i="5"/>
  <c r="C46" i="5"/>
  <c r="D46" i="5"/>
  <c r="E46" i="5"/>
  <c r="F46" i="5"/>
  <c r="G46" i="5"/>
  <c r="F25" i="5"/>
  <c r="F22" i="5"/>
  <c r="V39" i="10" l="1"/>
  <c r="V74" i="10"/>
  <c r="V75" i="10" s="1"/>
  <c r="X14" i="10"/>
  <c r="X19" i="10" s="1"/>
  <c r="X20" i="10" s="1"/>
  <c r="Y5" i="10"/>
  <c r="AA48" i="10"/>
  <c r="Z49" i="10"/>
  <c r="X30" i="10"/>
  <c r="Y22" i="10"/>
  <c r="U41" i="10"/>
  <c r="U42" i="10" s="1"/>
  <c r="U44" i="10" s="1"/>
  <c r="U46" i="10" s="1"/>
  <c r="T45" i="10"/>
  <c r="W34" i="10"/>
  <c r="W20" i="10"/>
  <c r="U76" i="10"/>
  <c r="L34" i="7"/>
  <c r="L39" i="7" s="1"/>
  <c r="L20" i="7"/>
  <c r="K73" i="7"/>
  <c r="K74" i="7" s="1"/>
  <c r="O30" i="7"/>
  <c r="O31" i="7" s="1"/>
  <c r="P22" i="7"/>
  <c r="M19" i="7"/>
  <c r="J74" i="7"/>
  <c r="J75" i="7" s="1"/>
  <c r="O8" i="7"/>
  <c r="N14" i="7"/>
  <c r="Q5" i="7"/>
  <c r="P47" i="7"/>
  <c r="O48" i="7"/>
  <c r="K41" i="7"/>
  <c r="K42" i="7" s="1"/>
  <c r="K44" i="7" s="1"/>
  <c r="J45" i="7"/>
  <c r="F75" i="6"/>
  <c r="H75" i="6"/>
  <c r="E74" i="6"/>
  <c r="E75" i="6" s="1"/>
  <c r="D75" i="6"/>
  <c r="G74" i="6"/>
  <c r="G75" i="6" s="1"/>
  <c r="J14" i="6"/>
  <c r="I19" i="6"/>
  <c r="K14" i="6"/>
  <c r="L5" i="6"/>
  <c r="J17" i="6"/>
  <c r="J19" i="6" s="1"/>
  <c r="J30" i="6"/>
  <c r="K22" i="6"/>
  <c r="I31" i="6"/>
  <c r="K46" i="6"/>
  <c r="L46" i="6" s="1"/>
  <c r="L48" i="6"/>
  <c r="M47" i="6"/>
  <c r="J45" i="5"/>
  <c r="K45" i="5" s="1"/>
  <c r="G44" i="5"/>
  <c r="H22" i="5"/>
  <c r="F44" i="5"/>
  <c r="E44" i="5"/>
  <c r="D44" i="5"/>
  <c r="E42" i="5"/>
  <c r="C37" i="5"/>
  <c r="G31" i="5"/>
  <c r="D31" i="5"/>
  <c r="C27" i="5"/>
  <c r="E25" i="5"/>
  <c r="C25" i="5"/>
  <c r="F31" i="5"/>
  <c r="E22" i="5"/>
  <c r="C22" i="5"/>
  <c r="G19" i="5"/>
  <c r="F19" i="5"/>
  <c r="E19" i="5"/>
  <c r="D19" i="5"/>
  <c r="C18" i="5"/>
  <c r="C19" i="5" s="1"/>
  <c r="I9" i="5"/>
  <c r="C8" i="5"/>
  <c r="D7" i="5" s="1"/>
  <c r="H7" i="5"/>
  <c r="I7" i="5" s="1"/>
  <c r="J7" i="5" s="1"/>
  <c r="K7" i="5" s="1"/>
  <c r="L7" i="5" s="1"/>
  <c r="M7" i="5" s="1"/>
  <c r="N7" i="5" s="1"/>
  <c r="O7" i="5" s="1"/>
  <c r="P7" i="5" s="1"/>
  <c r="Q7" i="5" s="1"/>
  <c r="R7" i="5" s="1"/>
  <c r="S7" i="5" s="1"/>
  <c r="T7" i="5" s="1"/>
  <c r="U7" i="5" s="1"/>
  <c r="V7" i="5" s="1"/>
  <c r="W7" i="5" s="1"/>
  <c r="X7" i="5" s="1"/>
  <c r="D5" i="5"/>
  <c r="E5" i="5" s="1"/>
  <c r="F5" i="5" s="1"/>
  <c r="G3" i="5"/>
  <c r="H3" i="5" s="1"/>
  <c r="I3" i="5" s="1"/>
  <c r="J3" i="5" s="1"/>
  <c r="K3" i="5" s="1"/>
  <c r="L3" i="5" s="1"/>
  <c r="M3" i="5" s="1"/>
  <c r="N3" i="5" s="1"/>
  <c r="O3" i="5" s="1"/>
  <c r="P3" i="5" s="1"/>
  <c r="Q3" i="5" s="1"/>
  <c r="R3" i="5" s="1"/>
  <c r="S3" i="5" s="1"/>
  <c r="T3" i="5" s="1"/>
  <c r="U3" i="5" s="1"/>
  <c r="V3" i="5" s="1"/>
  <c r="W3" i="5" s="1"/>
  <c r="X3" i="5" s="1"/>
  <c r="X34" i="10" l="1"/>
  <c r="X39" i="10" s="1"/>
  <c r="W39" i="10"/>
  <c r="W74" i="10"/>
  <c r="W75" i="10" s="1"/>
  <c r="Z5" i="10"/>
  <c r="Y14" i="10"/>
  <c r="Y19" i="10" s="1"/>
  <c r="Y20" i="10" s="1"/>
  <c r="AA49" i="10"/>
  <c r="AB48" i="10"/>
  <c r="X31" i="10"/>
  <c r="Z22" i="10"/>
  <c r="Y30" i="10"/>
  <c r="V41" i="10"/>
  <c r="V42" i="10" s="1"/>
  <c r="V44" i="10" s="1"/>
  <c r="V46" i="10" s="1"/>
  <c r="U45" i="10"/>
  <c r="V76" i="10"/>
  <c r="C31" i="5"/>
  <c r="C34" i="5" s="1"/>
  <c r="K45" i="7"/>
  <c r="L41" i="7"/>
  <c r="L42" i="7" s="1"/>
  <c r="L44" i="7" s="1"/>
  <c r="M34" i="7"/>
  <c r="M39" i="7" s="1"/>
  <c r="M20" i="7"/>
  <c r="N19" i="7"/>
  <c r="L73" i="7"/>
  <c r="P48" i="7"/>
  <c r="Q47" i="7"/>
  <c r="P8" i="7"/>
  <c r="O14" i="7"/>
  <c r="P30" i="7"/>
  <c r="P31" i="7" s="1"/>
  <c r="Q22" i="7"/>
  <c r="R5" i="7"/>
  <c r="K75" i="7"/>
  <c r="G5" i="5"/>
  <c r="H5" i="5" s="1"/>
  <c r="I5" i="5" s="1"/>
  <c r="F20" i="5"/>
  <c r="J46" i="5"/>
  <c r="E31" i="5"/>
  <c r="E34" i="5" s="1"/>
  <c r="E37" i="5" s="1"/>
  <c r="E39" i="5" s="1"/>
  <c r="E40" i="5" s="1"/>
  <c r="I34" i="6"/>
  <c r="I39" i="6" s="1"/>
  <c r="J34" i="6"/>
  <c r="J39" i="6" s="1"/>
  <c r="I20" i="6"/>
  <c r="K30" i="6"/>
  <c r="L22" i="6"/>
  <c r="K17" i="6"/>
  <c r="K19" i="6" s="1"/>
  <c r="J31" i="6"/>
  <c r="M46" i="6"/>
  <c r="J20" i="6"/>
  <c r="N47" i="6"/>
  <c r="M48" i="6"/>
  <c r="M5" i="6"/>
  <c r="L14" i="6"/>
  <c r="L45" i="5"/>
  <c r="K46" i="5"/>
  <c r="G20" i="5"/>
  <c r="I15" i="5"/>
  <c r="F34" i="5"/>
  <c r="I8" i="5"/>
  <c r="J8" i="5" s="1"/>
  <c r="K8" i="5" s="1"/>
  <c r="L8" i="5" s="1"/>
  <c r="M8" i="5" s="1"/>
  <c r="N8" i="5" s="1"/>
  <c r="O8" i="5" s="1"/>
  <c r="P8" i="5" s="1"/>
  <c r="Q8" i="5" s="1"/>
  <c r="R8" i="5" s="1"/>
  <c r="S8" i="5" s="1"/>
  <c r="T8" i="5" s="1"/>
  <c r="U8" i="5" s="1"/>
  <c r="V8" i="5" s="1"/>
  <c r="W8" i="5" s="1"/>
  <c r="X8" i="5" s="1"/>
  <c r="J9" i="5"/>
  <c r="K9" i="5" s="1"/>
  <c r="L9" i="5" s="1"/>
  <c r="M9" i="5" s="1"/>
  <c r="N9" i="5" s="1"/>
  <c r="O9" i="5" s="1"/>
  <c r="P9" i="5" s="1"/>
  <c r="Q9" i="5" s="1"/>
  <c r="R9" i="5" s="1"/>
  <c r="S9" i="5" s="1"/>
  <c r="T9" i="5" s="1"/>
  <c r="U9" i="5" s="1"/>
  <c r="V9" i="5" s="1"/>
  <c r="W9" i="5" s="1"/>
  <c r="X9" i="5" s="1"/>
  <c r="I24" i="5"/>
  <c r="I27" i="5"/>
  <c r="C39" i="5"/>
  <c r="C40" i="5" s="1"/>
  <c r="D20" i="5"/>
  <c r="I22" i="5"/>
  <c r="E20" i="5"/>
  <c r="D34" i="5"/>
  <c r="D37" i="5" s="1"/>
  <c r="D32" i="5"/>
  <c r="I29" i="5"/>
  <c r="I25" i="5"/>
  <c r="I18" i="5"/>
  <c r="J18" i="5" s="1"/>
  <c r="K18" i="5" s="1"/>
  <c r="L18" i="5" s="1"/>
  <c r="M18" i="5" s="1"/>
  <c r="N18" i="5" s="1"/>
  <c r="O18" i="5" s="1"/>
  <c r="P18" i="5" s="1"/>
  <c r="Q18" i="5" s="1"/>
  <c r="R18" i="5" s="1"/>
  <c r="S18" i="5" s="1"/>
  <c r="T18" i="5" s="1"/>
  <c r="U18" i="5" s="1"/>
  <c r="V18" i="5" s="1"/>
  <c r="W18" i="5" s="1"/>
  <c r="X18" i="5" s="1"/>
  <c r="I28" i="5"/>
  <c r="G34" i="5"/>
  <c r="G37" i="5" s="1"/>
  <c r="G32" i="5"/>
  <c r="I23" i="5"/>
  <c r="J23" i="5" s="1"/>
  <c r="K23" i="5" s="1"/>
  <c r="L23" i="5" s="1"/>
  <c r="M23" i="5" s="1"/>
  <c r="N23" i="5" s="1"/>
  <c r="O23" i="5" s="1"/>
  <c r="P23" i="5" s="1"/>
  <c r="Q23" i="5" s="1"/>
  <c r="R23" i="5" s="1"/>
  <c r="S23" i="5" s="1"/>
  <c r="T23" i="5" s="1"/>
  <c r="U23" i="5" s="1"/>
  <c r="V23" i="5" s="1"/>
  <c r="W23" i="5" s="1"/>
  <c r="X23" i="5" s="1"/>
  <c r="E22" i="4"/>
  <c r="E25" i="4"/>
  <c r="F32" i="5" l="1"/>
  <c r="E32" i="5"/>
  <c r="X74" i="10"/>
  <c r="X75" i="10" s="1"/>
  <c r="AA5" i="10"/>
  <c r="Z14" i="10"/>
  <c r="Z19" i="10" s="1"/>
  <c r="Z20" i="10" s="1"/>
  <c r="AC48" i="10"/>
  <c r="AC49" i="10" s="1"/>
  <c r="AB49" i="10"/>
  <c r="Y31" i="10"/>
  <c r="Y34" i="10"/>
  <c r="Z30" i="10"/>
  <c r="AA22" i="10"/>
  <c r="V45" i="10"/>
  <c r="W41" i="10"/>
  <c r="W42" i="10" s="1"/>
  <c r="W44" i="10" s="1"/>
  <c r="W46" i="10" s="1"/>
  <c r="W76" i="10"/>
  <c r="X76" i="10"/>
  <c r="N34" i="7"/>
  <c r="N39" i="7" s="1"/>
  <c r="N20" i="7"/>
  <c r="M41" i="7"/>
  <c r="M42" i="7" s="1"/>
  <c r="M44" i="7" s="1"/>
  <c r="L45" i="7"/>
  <c r="Q8" i="7"/>
  <c r="P14" i="7"/>
  <c r="Q30" i="7"/>
  <c r="Q31" i="7" s="1"/>
  <c r="R22" i="7"/>
  <c r="Q48" i="7"/>
  <c r="R47" i="7"/>
  <c r="M73" i="7"/>
  <c r="M74" i="7" s="1"/>
  <c r="S5" i="7"/>
  <c r="O19" i="7"/>
  <c r="L74" i="7"/>
  <c r="L75" i="7" s="1"/>
  <c r="F39" i="5"/>
  <c r="F40" i="5" s="1"/>
  <c r="F37" i="5"/>
  <c r="D39" i="5"/>
  <c r="D40" i="5" s="1"/>
  <c r="J73" i="6"/>
  <c r="J74" i="6" s="1"/>
  <c r="I42" i="6"/>
  <c r="I44" i="6" s="1"/>
  <c r="I73" i="6"/>
  <c r="I74" i="6" s="1"/>
  <c r="K34" i="6"/>
  <c r="K39" i="6" s="1"/>
  <c r="K20" i="6"/>
  <c r="L17" i="6"/>
  <c r="L19" i="6" s="1"/>
  <c r="N46" i="6"/>
  <c r="O46" i="6" s="1"/>
  <c r="M22" i="6"/>
  <c r="L30" i="6"/>
  <c r="N5" i="6"/>
  <c r="M14" i="6"/>
  <c r="K31" i="6"/>
  <c r="N48" i="6"/>
  <c r="O47" i="6"/>
  <c r="L46" i="5"/>
  <c r="M45" i="5"/>
  <c r="J15" i="5"/>
  <c r="K15" i="5" s="1"/>
  <c r="L15" i="5" s="1"/>
  <c r="M15" i="5" s="1"/>
  <c r="N15" i="5" s="1"/>
  <c r="O15" i="5" s="1"/>
  <c r="P15" i="5" s="1"/>
  <c r="Q15" i="5" s="1"/>
  <c r="R15" i="5" s="1"/>
  <c r="S15" i="5" s="1"/>
  <c r="T15" i="5" s="1"/>
  <c r="U15" i="5" s="1"/>
  <c r="V15" i="5" s="1"/>
  <c r="W15" i="5" s="1"/>
  <c r="X15" i="5" s="1"/>
  <c r="J29" i="5"/>
  <c r="K29" i="5" s="1"/>
  <c r="L29" i="5" s="1"/>
  <c r="M29" i="5" s="1"/>
  <c r="N29" i="5" s="1"/>
  <c r="O29" i="5" s="1"/>
  <c r="P29" i="5" s="1"/>
  <c r="Q29" i="5" s="1"/>
  <c r="R29" i="5" s="1"/>
  <c r="S29" i="5" s="1"/>
  <c r="T29" i="5" s="1"/>
  <c r="U29" i="5" s="1"/>
  <c r="V29" i="5" s="1"/>
  <c r="W29" i="5" s="1"/>
  <c r="X29" i="5" s="1"/>
  <c r="J27" i="5"/>
  <c r="K27" i="5" s="1"/>
  <c r="L27" i="5" s="1"/>
  <c r="M27" i="5" s="1"/>
  <c r="N27" i="5" s="1"/>
  <c r="O27" i="5" s="1"/>
  <c r="P27" i="5" s="1"/>
  <c r="Q27" i="5" s="1"/>
  <c r="R27" i="5" s="1"/>
  <c r="S27" i="5" s="1"/>
  <c r="T27" i="5" s="1"/>
  <c r="U27" i="5" s="1"/>
  <c r="V27" i="5" s="1"/>
  <c r="W27" i="5" s="1"/>
  <c r="X27" i="5" s="1"/>
  <c r="J28" i="5"/>
  <c r="K28" i="5" s="1"/>
  <c r="L28" i="5" s="1"/>
  <c r="M28" i="5" s="1"/>
  <c r="N28" i="5" s="1"/>
  <c r="O28" i="5" s="1"/>
  <c r="P28" i="5" s="1"/>
  <c r="Q28" i="5" s="1"/>
  <c r="R28" i="5" s="1"/>
  <c r="S28" i="5" s="1"/>
  <c r="T28" i="5" s="1"/>
  <c r="U28" i="5" s="1"/>
  <c r="V28" i="5" s="1"/>
  <c r="W28" i="5" s="1"/>
  <c r="X28" i="5" s="1"/>
  <c r="J24" i="5"/>
  <c r="K24" i="5" s="1"/>
  <c r="L24" i="5" s="1"/>
  <c r="M24" i="5" s="1"/>
  <c r="N24" i="5" s="1"/>
  <c r="O24" i="5" s="1"/>
  <c r="P24" i="5" s="1"/>
  <c r="Q24" i="5" s="1"/>
  <c r="R24" i="5" s="1"/>
  <c r="S24" i="5" s="1"/>
  <c r="T24" i="5" s="1"/>
  <c r="U24" i="5" s="1"/>
  <c r="V24" i="5" s="1"/>
  <c r="W24" i="5" s="1"/>
  <c r="X24" i="5" s="1"/>
  <c r="I31" i="5"/>
  <c r="J5" i="5"/>
  <c r="I14" i="5"/>
  <c r="J22" i="5"/>
  <c r="H19" i="5"/>
  <c r="H31" i="5"/>
  <c r="J25" i="5"/>
  <c r="K25" i="5" s="1"/>
  <c r="L25" i="5" s="1"/>
  <c r="M25" i="5" s="1"/>
  <c r="N25" i="5" s="1"/>
  <c r="O25" i="5" s="1"/>
  <c r="P25" i="5" s="1"/>
  <c r="Q25" i="5" s="1"/>
  <c r="R25" i="5" s="1"/>
  <c r="S25" i="5" s="1"/>
  <c r="T25" i="5" s="1"/>
  <c r="U25" i="5" s="1"/>
  <c r="V25" i="5" s="1"/>
  <c r="W25" i="5" s="1"/>
  <c r="X25" i="5" s="1"/>
  <c r="E31" i="4"/>
  <c r="F25" i="4"/>
  <c r="F22" i="4"/>
  <c r="D44" i="4"/>
  <c r="E44" i="4"/>
  <c r="F44" i="4"/>
  <c r="F31" i="4" l="1"/>
  <c r="Y39" i="10"/>
  <c r="Y74" i="10"/>
  <c r="Y75" i="10" s="1"/>
  <c r="Y76" i="10" s="1"/>
  <c r="AB5" i="10"/>
  <c r="AA14" i="10"/>
  <c r="AA19" i="10" s="1"/>
  <c r="AA20" i="10" s="1"/>
  <c r="AA30" i="10"/>
  <c r="AB22" i="10"/>
  <c r="Z31" i="10"/>
  <c r="Z34" i="10"/>
  <c r="X41" i="10"/>
  <c r="X42" i="10" s="1"/>
  <c r="X44" i="10" s="1"/>
  <c r="W45" i="10"/>
  <c r="N41" i="7"/>
  <c r="N42" i="7" s="1"/>
  <c r="N44" i="7" s="1"/>
  <c r="M45" i="7"/>
  <c r="O34" i="7"/>
  <c r="O39" i="7" s="1"/>
  <c r="O20" i="7"/>
  <c r="T5" i="7"/>
  <c r="R30" i="7"/>
  <c r="R31" i="7" s="1"/>
  <c r="S22" i="7"/>
  <c r="M75" i="7"/>
  <c r="R48" i="7"/>
  <c r="S47" i="7"/>
  <c r="P19" i="7"/>
  <c r="R8" i="7"/>
  <c r="Q14" i="7"/>
  <c r="N73" i="7"/>
  <c r="I75" i="6"/>
  <c r="K73" i="6"/>
  <c r="J75" i="6"/>
  <c r="I45" i="6"/>
  <c r="L34" i="6"/>
  <c r="L39" i="6" s="1"/>
  <c r="P46" i="6"/>
  <c r="Q46" i="6" s="1"/>
  <c r="L20" i="6"/>
  <c r="N14" i="6"/>
  <c r="O5" i="6"/>
  <c r="J41" i="6"/>
  <c r="J42" i="6" s="1"/>
  <c r="L31" i="6"/>
  <c r="M30" i="6"/>
  <c r="N22" i="6"/>
  <c r="O48" i="6"/>
  <c r="P47" i="6"/>
  <c r="M17" i="6"/>
  <c r="M19" i="6" s="1"/>
  <c r="M46" i="5"/>
  <c r="N45" i="5"/>
  <c r="H20" i="5"/>
  <c r="H32" i="5"/>
  <c r="I32" i="5"/>
  <c r="H34" i="5"/>
  <c r="I17" i="5"/>
  <c r="I19" i="5" s="1"/>
  <c r="J14" i="5"/>
  <c r="K5" i="5"/>
  <c r="J31" i="5"/>
  <c r="K22" i="5"/>
  <c r="G44" i="4"/>
  <c r="G3" i="4"/>
  <c r="D5" i="4"/>
  <c r="E5" i="4" s="1"/>
  <c r="F5" i="4" s="1"/>
  <c r="G5" i="4" s="1"/>
  <c r="G7" i="4"/>
  <c r="G8" i="4" s="1"/>
  <c r="C8" i="4"/>
  <c r="D7" i="4" s="1"/>
  <c r="C18" i="4"/>
  <c r="C19" i="4" s="1"/>
  <c r="D19" i="4"/>
  <c r="E19" i="4"/>
  <c r="F19" i="4"/>
  <c r="G19" i="4"/>
  <c r="C22" i="4"/>
  <c r="G23" i="4"/>
  <c r="G31" i="4" s="1"/>
  <c r="C25" i="4"/>
  <c r="C27" i="4"/>
  <c r="D31" i="4"/>
  <c r="D34" i="4" s="1"/>
  <c r="D39" i="4" s="1"/>
  <c r="D40" i="4" s="1"/>
  <c r="C37" i="4"/>
  <c r="E42" i="4"/>
  <c r="D20" i="4" l="1"/>
  <c r="G33" i="4"/>
  <c r="G34" i="4" s="1"/>
  <c r="G39" i="4" s="1"/>
  <c r="AC5" i="10"/>
  <c r="AC14" i="10" s="1"/>
  <c r="AC19" i="10" s="1"/>
  <c r="AB14" i="10"/>
  <c r="AB19" i="10" s="1"/>
  <c r="AB20" i="10" s="1"/>
  <c r="Z39" i="10"/>
  <c r="Z74" i="10"/>
  <c r="Z75" i="10" s="1"/>
  <c r="Z76" i="10" s="1"/>
  <c r="Y41" i="10"/>
  <c r="Y42" i="10" s="1"/>
  <c r="Y44" i="10" s="1"/>
  <c r="X46" i="10"/>
  <c r="AC22" i="10"/>
  <c r="AC30" i="10" s="1"/>
  <c r="AB30" i="10"/>
  <c r="AA31" i="10"/>
  <c r="AA34" i="10"/>
  <c r="X45" i="10"/>
  <c r="C31" i="4"/>
  <c r="C34" i="4" s="1"/>
  <c r="C39" i="4" s="1"/>
  <c r="C40" i="4" s="1"/>
  <c r="G32" i="4"/>
  <c r="O41" i="7"/>
  <c r="O42" i="7" s="1"/>
  <c r="O44" i="7" s="1"/>
  <c r="N45" i="7"/>
  <c r="P34" i="7"/>
  <c r="P39" i="7" s="1"/>
  <c r="P20" i="7"/>
  <c r="Q19" i="7"/>
  <c r="T47" i="7"/>
  <c r="S48" i="7"/>
  <c r="O73" i="7"/>
  <c r="O74" i="7" s="1"/>
  <c r="S8" i="7"/>
  <c r="R14" i="7"/>
  <c r="U5" i="7"/>
  <c r="N74" i="7"/>
  <c r="N75" i="7" s="1"/>
  <c r="S30" i="7"/>
  <c r="S31" i="7" s="1"/>
  <c r="T22" i="7"/>
  <c r="G20" i="4"/>
  <c r="K75" i="6"/>
  <c r="L73" i="6"/>
  <c r="L74" i="6" s="1"/>
  <c r="K74" i="6"/>
  <c r="J44" i="6"/>
  <c r="J45" i="6" s="1"/>
  <c r="M34" i="6"/>
  <c r="M39" i="6" s="1"/>
  <c r="R46" i="6"/>
  <c r="S46" i="6" s="1"/>
  <c r="T46" i="6" s="1"/>
  <c r="U46" i="6" s="1"/>
  <c r="V46" i="6" s="1"/>
  <c r="W46" i="6" s="1"/>
  <c r="X46" i="6" s="1"/>
  <c r="M31" i="6"/>
  <c r="N30" i="6"/>
  <c r="O22" i="6"/>
  <c r="P48" i="6"/>
  <c r="Q47" i="6"/>
  <c r="P5" i="6"/>
  <c r="O14" i="6"/>
  <c r="M20" i="6"/>
  <c r="N17" i="6"/>
  <c r="N19" i="6" s="1"/>
  <c r="N46" i="5"/>
  <c r="O45" i="5"/>
  <c r="I20" i="5"/>
  <c r="L22" i="5"/>
  <c r="J32" i="5"/>
  <c r="J17" i="5"/>
  <c r="J19" i="5" s="1"/>
  <c r="K31" i="5"/>
  <c r="K14" i="5"/>
  <c r="L5" i="5"/>
  <c r="F34" i="4"/>
  <c r="F39" i="4" s="1"/>
  <c r="F40" i="4" s="1"/>
  <c r="F20" i="4"/>
  <c r="G42" i="4"/>
  <c r="G43" i="4" s="1"/>
  <c r="G40" i="4"/>
  <c r="E32" i="4"/>
  <c r="F32" i="4"/>
  <c r="E34" i="4"/>
  <c r="E39" i="4" s="1"/>
  <c r="E40" i="4" s="1"/>
  <c r="D32" i="4"/>
  <c r="E20" i="4"/>
  <c r="AC20" i="10" l="1"/>
  <c r="AA39" i="10"/>
  <c r="AA74" i="10"/>
  <c r="AA75" i="10" s="1"/>
  <c r="AA76" i="10" s="1"/>
  <c r="Z41" i="10"/>
  <c r="Z42" i="10" s="1"/>
  <c r="Z44" i="10" s="1"/>
  <c r="Y46" i="10"/>
  <c r="Y45" i="10"/>
  <c r="AB31" i="10"/>
  <c r="AB34" i="10"/>
  <c r="AC31" i="10"/>
  <c r="AC34" i="10"/>
  <c r="Q34" i="7"/>
  <c r="Q39" i="7" s="1"/>
  <c r="Q20" i="7"/>
  <c r="O45" i="7"/>
  <c r="P41" i="7"/>
  <c r="P42" i="7" s="1"/>
  <c r="P44" i="7" s="1"/>
  <c r="T30" i="7"/>
  <c r="T31" i="7" s="1"/>
  <c r="U22" i="7"/>
  <c r="V5" i="7"/>
  <c r="T48" i="7"/>
  <c r="U47" i="7"/>
  <c r="P73" i="7"/>
  <c r="P74" i="7" s="1"/>
  <c r="R19" i="7"/>
  <c r="O75" i="7"/>
  <c r="T8" i="7"/>
  <c r="S14" i="7"/>
  <c r="M73" i="6"/>
  <c r="M74" i="6" s="1"/>
  <c r="L75" i="6"/>
  <c r="N34" i="6"/>
  <c r="N39" i="6" s="1"/>
  <c r="N20" i="6"/>
  <c r="O30" i="6"/>
  <c r="P22" i="6"/>
  <c r="Q5" i="6"/>
  <c r="P14" i="6"/>
  <c r="N31" i="6"/>
  <c r="R47" i="6"/>
  <c r="Q48" i="6"/>
  <c r="O17" i="6"/>
  <c r="O19" i="6" s="1"/>
  <c r="O46" i="5"/>
  <c r="P45" i="5"/>
  <c r="J20" i="5"/>
  <c r="K32" i="5"/>
  <c r="M22" i="5"/>
  <c r="L31" i="5"/>
  <c r="M5" i="5"/>
  <c r="L14" i="5"/>
  <c r="K17" i="5"/>
  <c r="K19" i="5" s="1"/>
  <c r="H7" i="4"/>
  <c r="I7" i="4" s="1"/>
  <c r="J7" i="4" s="1"/>
  <c r="K7" i="4" s="1"/>
  <c r="L7" i="4" s="1"/>
  <c r="M7" i="4" s="1"/>
  <c r="N7" i="4" s="1"/>
  <c r="O7" i="4" s="1"/>
  <c r="P7" i="4" s="1"/>
  <c r="Q7" i="4" s="1"/>
  <c r="R7" i="4" s="1"/>
  <c r="S7" i="4" s="1"/>
  <c r="T7" i="4" s="1"/>
  <c r="U7" i="4" s="1"/>
  <c r="V7" i="4" s="1"/>
  <c r="W7" i="4" s="1"/>
  <c r="X7" i="4" s="1"/>
  <c r="H3" i="4"/>
  <c r="I3" i="4" s="1"/>
  <c r="J3" i="4" s="1"/>
  <c r="K3" i="4" s="1"/>
  <c r="L3" i="4" s="1"/>
  <c r="M3" i="4" s="1"/>
  <c r="N3" i="4" s="1"/>
  <c r="O3" i="4" s="1"/>
  <c r="P3" i="4" s="1"/>
  <c r="Q3" i="4" s="1"/>
  <c r="R3" i="4" s="1"/>
  <c r="S3" i="4" s="1"/>
  <c r="T3" i="4" s="1"/>
  <c r="U3" i="4" s="1"/>
  <c r="V3" i="4" s="1"/>
  <c r="W3" i="4" s="1"/>
  <c r="X3" i="4" s="1"/>
  <c r="E25" i="3"/>
  <c r="E22" i="3"/>
  <c r="F23" i="3"/>
  <c r="F22" i="3"/>
  <c r="E31" i="3" l="1"/>
  <c r="AB39" i="10"/>
  <c r="AB74" i="10"/>
  <c r="AB75" i="10" s="1"/>
  <c r="AC39" i="10"/>
  <c r="AC74" i="10"/>
  <c r="AC75" i="10" s="1"/>
  <c r="AC76" i="10" s="1"/>
  <c r="AA41" i="10"/>
  <c r="AA42" i="10" s="1"/>
  <c r="AA44" i="10" s="1"/>
  <c r="Z46" i="10"/>
  <c r="Z45" i="10"/>
  <c r="Q41" i="7"/>
  <c r="Q42" i="7" s="1"/>
  <c r="Q44" i="7" s="1"/>
  <c r="P45" i="7"/>
  <c r="R34" i="7"/>
  <c r="R39" i="7" s="1"/>
  <c r="R20" i="7"/>
  <c r="W5" i="7"/>
  <c r="Q73" i="7"/>
  <c r="P75" i="7"/>
  <c r="U8" i="7"/>
  <c r="T14" i="7"/>
  <c r="S19" i="7"/>
  <c r="U48" i="7"/>
  <c r="V47" i="7"/>
  <c r="U30" i="7"/>
  <c r="U31" i="7" s="1"/>
  <c r="V22" i="7"/>
  <c r="N73" i="6"/>
  <c r="M75" i="6"/>
  <c r="O34" i="6"/>
  <c r="O39" i="6" s="1"/>
  <c r="K41" i="6"/>
  <c r="K42" i="6" s="1"/>
  <c r="K44" i="6" s="1"/>
  <c r="R48" i="6"/>
  <c r="S47" i="6"/>
  <c r="R5" i="6"/>
  <c r="Q14" i="6"/>
  <c r="Q22" i="6"/>
  <c r="P30" i="6"/>
  <c r="O20" i="6"/>
  <c r="O31" i="6"/>
  <c r="P17" i="6"/>
  <c r="P19" i="6" s="1"/>
  <c r="P46" i="5"/>
  <c r="Q45" i="5"/>
  <c r="L32" i="5"/>
  <c r="K20" i="5"/>
  <c r="L17" i="5"/>
  <c r="L19" i="5" s="1"/>
  <c r="N22" i="5"/>
  <c r="M31" i="5"/>
  <c r="M14" i="5"/>
  <c r="N5" i="5"/>
  <c r="H5" i="4"/>
  <c r="H30" i="4" s="1"/>
  <c r="H8" i="4"/>
  <c r="I8" i="4" s="1"/>
  <c r="J8" i="4" s="1"/>
  <c r="K8" i="4" s="1"/>
  <c r="L8" i="4" s="1"/>
  <c r="M8" i="4" s="1"/>
  <c r="N8" i="4" s="1"/>
  <c r="O8" i="4" s="1"/>
  <c r="P8" i="4" s="1"/>
  <c r="Q8" i="4" s="1"/>
  <c r="R8" i="4" s="1"/>
  <c r="S8" i="4" s="1"/>
  <c r="T8" i="4" s="1"/>
  <c r="U8" i="4" s="1"/>
  <c r="V8" i="4" s="1"/>
  <c r="W8" i="4" s="1"/>
  <c r="X8" i="4" s="1"/>
  <c r="H44" i="4"/>
  <c r="I44" i="4" s="1"/>
  <c r="C37" i="3"/>
  <c r="D31" i="3"/>
  <c r="D34" i="3" s="1"/>
  <c r="C27" i="3"/>
  <c r="C25" i="3"/>
  <c r="E34" i="3"/>
  <c r="C22" i="3"/>
  <c r="D19" i="3"/>
  <c r="C18" i="3"/>
  <c r="C19" i="3" s="1"/>
  <c r="F9" i="3"/>
  <c r="F15" i="3" s="1"/>
  <c r="F8" i="3"/>
  <c r="C8" i="3"/>
  <c r="D7" i="3" s="1"/>
  <c r="G7" i="3"/>
  <c r="H7" i="3" s="1"/>
  <c r="I7" i="3" s="1"/>
  <c r="J7" i="3" s="1"/>
  <c r="K7" i="3" s="1"/>
  <c r="L7" i="3" s="1"/>
  <c r="M7" i="3" s="1"/>
  <c r="N7" i="3" s="1"/>
  <c r="O7" i="3" s="1"/>
  <c r="P7" i="3" s="1"/>
  <c r="Q7" i="3" s="1"/>
  <c r="R7" i="3" s="1"/>
  <c r="S7" i="3" s="1"/>
  <c r="T7" i="3" s="1"/>
  <c r="U7" i="3" s="1"/>
  <c r="V7" i="3" s="1"/>
  <c r="W7" i="3" s="1"/>
  <c r="X7" i="3" s="1"/>
  <c r="D5" i="3"/>
  <c r="E5" i="3" s="1"/>
  <c r="F5" i="3" s="1"/>
  <c r="G3" i="3"/>
  <c r="H3" i="3" s="1"/>
  <c r="I3" i="3" s="1"/>
  <c r="J3" i="3" s="1"/>
  <c r="K3" i="3" s="1"/>
  <c r="L3" i="3" s="1"/>
  <c r="M3" i="3" s="1"/>
  <c r="N3" i="3" s="1"/>
  <c r="O3" i="3" s="1"/>
  <c r="P3" i="3" s="1"/>
  <c r="Q3" i="3" s="1"/>
  <c r="R3" i="3" s="1"/>
  <c r="S3" i="3" s="1"/>
  <c r="T3" i="3" s="1"/>
  <c r="U3" i="3" s="1"/>
  <c r="V3" i="3" s="1"/>
  <c r="W3" i="3" s="1"/>
  <c r="X3" i="3" s="1"/>
  <c r="C37" i="2"/>
  <c r="C22" i="2"/>
  <c r="C18" i="2"/>
  <c r="C19" i="2" s="1"/>
  <c r="C25" i="2"/>
  <c r="C27" i="2"/>
  <c r="E27" i="2"/>
  <c r="E26" i="2"/>
  <c r="E25" i="2"/>
  <c r="E22" i="2"/>
  <c r="E18" i="2"/>
  <c r="D19" i="2"/>
  <c r="E23" i="2"/>
  <c r="G44" i="2"/>
  <c r="H44" i="2" s="1"/>
  <c r="E15" i="2"/>
  <c r="F9" i="2"/>
  <c r="G9" i="2" s="1"/>
  <c r="H9" i="2" s="1"/>
  <c r="I9" i="2" s="1"/>
  <c r="J9" i="2" s="1"/>
  <c r="K9" i="2" s="1"/>
  <c r="L9" i="2" s="1"/>
  <c r="M9" i="2" s="1"/>
  <c r="N9" i="2" s="1"/>
  <c r="O9" i="2" s="1"/>
  <c r="P9" i="2" s="1"/>
  <c r="Q9" i="2" s="1"/>
  <c r="R9" i="2" s="1"/>
  <c r="S9" i="2" s="1"/>
  <c r="T9" i="2" s="1"/>
  <c r="U9" i="2" s="1"/>
  <c r="V9" i="2" s="1"/>
  <c r="W9" i="2" s="1"/>
  <c r="X9" i="2" s="1"/>
  <c r="E8" i="2"/>
  <c r="F8" i="2" s="1"/>
  <c r="C8" i="2"/>
  <c r="D7" i="2" s="1"/>
  <c r="G7" i="2"/>
  <c r="H7" i="2" s="1"/>
  <c r="I7" i="2" s="1"/>
  <c r="J7" i="2" s="1"/>
  <c r="K7" i="2" s="1"/>
  <c r="L7" i="2" s="1"/>
  <c r="M7" i="2" s="1"/>
  <c r="N7" i="2" s="1"/>
  <c r="O7" i="2" s="1"/>
  <c r="P7" i="2" s="1"/>
  <c r="Q7" i="2" s="1"/>
  <c r="R7" i="2" s="1"/>
  <c r="S7" i="2" s="1"/>
  <c r="T7" i="2" s="1"/>
  <c r="U7" i="2" s="1"/>
  <c r="V7" i="2" s="1"/>
  <c r="W7" i="2" s="1"/>
  <c r="X7" i="2" s="1"/>
  <c r="D5" i="2"/>
  <c r="E5" i="2" s="1"/>
  <c r="G3" i="2"/>
  <c r="H3" i="2" s="1"/>
  <c r="I3" i="2" s="1"/>
  <c r="J3" i="2" s="1"/>
  <c r="K3" i="2" s="1"/>
  <c r="L3" i="2" s="1"/>
  <c r="M3" i="2" s="1"/>
  <c r="N3" i="2" s="1"/>
  <c r="O3" i="2" s="1"/>
  <c r="P3" i="2" s="1"/>
  <c r="Q3" i="2" s="1"/>
  <c r="R3" i="2" s="1"/>
  <c r="S3" i="2" s="1"/>
  <c r="T3" i="2" s="1"/>
  <c r="U3" i="2" s="1"/>
  <c r="V3" i="2" s="1"/>
  <c r="W3" i="2" s="1"/>
  <c r="X3" i="2" s="1"/>
  <c r="G7" i="1"/>
  <c r="H7" i="1" s="1"/>
  <c r="I7" i="1" s="1"/>
  <c r="J7" i="1" s="1"/>
  <c r="K7" i="1" s="1"/>
  <c r="L7" i="1" s="1"/>
  <c r="M7" i="1" s="1"/>
  <c r="N7" i="1" s="1"/>
  <c r="O7" i="1" s="1"/>
  <c r="P7" i="1" s="1"/>
  <c r="Q7" i="1" s="1"/>
  <c r="R7" i="1" s="1"/>
  <c r="S7" i="1" s="1"/>
  <c r="T7" i="1" s="1"/>
  <c r="U7" i="1" s="1"/>
  <c r="V7" i="1" s="1"/>
  <c r="W7" i="1" s="1"/>
  <c r="X7" i="1" s="1"/>
  <c r="E8" i="1"/>
  <c r="F8" i="1" s="1"/>
  <c r="G41" i="1"/>
  <c r="H41" i="1" s="1"/>
  <c r="D27" i="1"/>
  <c r="C27" i="1"/>
  <c r="D26" i="1"/>
  <c r="C26" i="1"/>
  <c r="C23" i="1"/>
  <c r="D23" i="1"/>
  <c r="E23" i="1" s="1"/>
  <c r="F9" i="1"/>
  <c r="G9" i="1" s="1"/>
  <c r="H9" i="1" s="1"/>
  <c r="I9" i="1" s="1"/>
  <c r="J9" i="1" s="1"/>
  <c r="K9" i="1" s="1"/>
  <c r="L9" i="1" s="1"/>
  <c r="M9" i="1" s="1"/>
  <c r="N9" i="1" s="1"/>
  <c r="O9" i="1" s="1"/>
  <c r="P9" i="1" s="1"/>
  <c r="Q9" i="1" s="1"/>
  <c r="R9" i="1" s="1"/>
  <c r="S9" i="1" s="1"/>
  <c r="T9" i="1" s="1"/>
  <c r="U9" i="1" s="1"/>
  <c r="V9" i="1" s="1"/>
  <c r="W9" i="1" s="1"/>
  <c r="X9" i="1" s="1"/>
  <c r="E17" i="1"/>
  <c r="D18" i="1"/>
  <c r="C18" i="1"/>
  <c r="E28" i="1"/>
  <c r="E29" i="1"/>
  <c r="E27" i="1"/>
  <c r="E25" i="1"/>
  <c r="E22" i="1"/>
  <c r="E15" i="1"/>
  <c r="C22" i="1"/>
  <c r="C8" i="1"/>
  <c r="D7" i="1" s="1"/>
  <c r="D5" i="1"/>
  <c r="E5" i="1" s="1"/>
  <c r="F5" i="1" s="1"/>
  <c r="G5" i="1" s="1"/>
  <c r="H5" i="1" s="1"/>
  <c r="I5" i="1" s="1"/>
  <c r="J5" i="1" s="1"/>
  <c r="K5" i="1" s="1"/>
  <c r="L5" i="1" s="1"/>
  <c r="M5" i="1" s="1"/>
  <c r="N5" i="1" s="1"/>
  <c r="O5" i="1" s="1"/>
  <c r="P5" i="1" s="1"/>
  <c r="Q5" i="1" s="1"/>
  <c r="R5" i="1" s="1"/>
  <c r="S5" i="1" s="1"/>
  <c r="T5" i="1" s="1"/>
  <c r="U5" i="1" s="1"/>
  <c r="V5" i="1" s="1"/>
  <c r="W5" i="1" s="1"/>
  <c r="X5" i="1" s="1"/>
  <c r="E3" i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F27" i="1" l="1"/>
  <c r="AB76" i="10"/>
  <c r="AB41" i="10"/>
  <c r="AB42" i="10" s="1"/>
  <c r="AB44" i="10" s="1"/>
  <c r="AA46" i="10"/>
  <c r="AA45" i="10"/>
  <c r="F15" i="1"/>
  <c r="F29" i="1"/>
  <c r="F17" i="1"/>
  <c r="G17" i="1" s="1"/>
  <c r="H17" i="1" s="1"/>
  <c r="I17" i="1" s="1"/>
  <c r="J17" i="1" s="1"/>
  <c r="K17" i="1" s="1"/>
  <c r="L17" i="1" s="1"/>
  <c r="M17" i="1" s="1"/>
  <c r="N17" i="1" s="1"/>
  <c r="O17" i="1" s="1"/>
  <c r="P17" i="1" s="1"/>
  <c r="Q17" i="1" s="1"/>
  <c r="R17" i="1" s="1"/>
  <c r="S17" i="1" s="1"/>
  <c r="T17" i="1" s="1"/>
  <c r="U17" i="1" s="1"/>
  <c r="V17" i="1" s="1"/>
  <c r="W17" i="1" s="1"/>
  <c r="X17" i="1" s="1"/>
  <c r="F25" i="1"/>
  <c r="D39" i="3"/>
  <c r="R41" i="7"/>
  <c r="R42" i="7" s="1"/>
  <c r="R44" i="7" s="1"/>
  <c r="Q45" i="7"/>
  <c r="V8" i="7"/>
  <c r="U14" i="7"/>
  <c r="R73" i="7"/>
  <c r="R74" i="7" s="1"/>
  <c r="V30" i="7"/>
  <c r="V31" i="7" s="1"/>
  <c r="W22" i="7"/>
  <c r="X5" i="7"/>
  <c r="S34" i="7"/>
  <c r="S39" i="7" s="1"/>
  <c r="S20" i="7"/>
  <c r="V48" i="7"/>
  <c r="W47" i="7"/>
  <c r="T19" i="7"/>
  <c r="Q74" i="7"/>
  <c r="Q75" i="7" s="1"/>
  <c r="F22" i="1"/>
  <c r="E31" i="1"/>
  <c r="E31" i="2"/>
  <c r="G8" i="3"/>
  <c r="O73" i="6"/>
  <c r="N74" i="6"/>
  <c r="N75" i="6" s="1"/>
  <c r="K45" i="6"/>
  <c r="P34" i="6"/>
  <c r="P39" i="6" s="1"/>
  <c r="P20" i="6"/>
  <c r="Q17" i="6"/>
  <c r="Q19" i="6" s="1"/>
  <c r="P31" i="6"/>
  <c r="R14" i="6"/>
  <c r="S5" i="6"/>
  <c r="Q30" i="6"/>
  <c r="R22" i="6"/>
  <c r="S48" i="6"/>
  <c r="T47" i="6"/>
  <c r="R45" i="5"/>
  <c r="Q46" i="5"/>
  <c r="L20" i="5"/>
  <c r="M32" i="5"/>
  <c r="M17" i="5"/>
  <c r="M19" i="5" s="1"/>
  <c r="O22" i="5"/>
  <c r="N31" i="5"/>
  <c r="O5" i="5"/>
  <c r="N14" i="5"/>
  <c r="H9" i="4"/>
  <c r="H29" i="4" s="1"/>
  <c r="J44" i="4"/>
  <c r="K44" i="4" s="1"/>
  <c r="L44" i="4" s="1"/>
  <c r="H14" i="4"/>
  <c r="I5" i="4"/>
  <c r="I30" i="4" s="1"/>
  <c r="D31" i="1"/>
  <c r="D34" i="1" s="1"/>
  <c r="D36" i="1" s="1"/>
  <c r="D39" i="1" s="1"/>
  <c r="D40" i="1" s="1"/>
  <c r="C31" i="3"/>
  <c r="C34" i="3" s="1"/>
  <c r="C39" i="3" s="1"/>
  <c r="C40" i="3" s="1"/>
  <c r="G8" i="1"/>
  <c r="H8" i="1" s="1"/>
  <c r="D40" i="3"/>
  <c r="G5" i="3"/>
  <c r="H8" i="3"/>
  <c r="I8" i="3" s="1"/>
  <c r="J8" i="3" s="1"/>
  <c r="K8" i="3" s="1"/>
  <c r="L8" i="3" s="1"/>
  <c r="M8" i="3" s="1"/>
  <c r="N8" i="3" s="1"/>
  <c r="O8" i="3" s="1"/>
  <c r="P8" i="3" s="1"/>
  <c r="Q8" i="3" s="1"/>
  <c r="R8" i="3" s="1"/>
  <c r="S8" i="3" s="1"/>
  <c r="T8" i="3" s="1"/>
  <c r="U8" i="3" s="1"/>
  <c r="V8" i="3" s="1"/>
  <c r="W8" i="3" s="1"/>
  <c r="X8" i="3" s="1"/>
  <c r="E19" i="3"/>
  <c r="E39" i="3" s="1"/>
  <c r="F28" i="3"/>
  <c r="F31" i="3" s="1"/>
  <c r="G9" i="3"/>
  <c r="G25" i="3"/>
  <c r="D31" i="2"/>
  <c r="D34" i="2" s="1"/>
  <c r="G8" i="2"/>
  <c r="H8" i="2" s="1"/>
  <c r="I8" i="2" s="1"/>
  <c r="J8" i="2" s="1"/>
  <c r="K8" i="2" s="1"/>
  <c r="L8" i="2" s="1"/>
  <c r="M8" i="2" s="1"/>
  <c r="N8" i="2" s="1"/>
  <c r="O8" i="2" s="1"/>
  <c r="P8" i="2" s="1"/>
  <c r="Q8" i="2" s="1"/>
  <c r="R8" i="2" s="1"/>
  <c r="S8" i="2" s="1"/>
  <c r="T8" i="2" s="1"/>
  <c r="U8" i="2" s="1"/>
  <c r="V8" i="2" s="1"/>
  <c r="W8" i="2" s="1"/>
  <c r="X8" i="2" s="1"/>
  <c r="C31" i="2"/>
  <c r="C34" i="2" s="1"/>
  <c r="C39" i="2" s="1"/>
  <c r="F5" i="2"/>
  <c r="F22" i="2"/>
  <c r="F18" i="2"/>
  <c r="G18" i="2" s="1"/>
  <c r="H18" i="2" s="1"/>
  <c r="I18" i="2" s="1"/>
  <c r="J18" i="2" s="1"/>
  <c r="K18" i="2" s="1"/>
  <c r="L18" i="2" s="1"/>
  <c r="M18" i="2" s="1"/>
  <c r="N18" i="2" s="1"/>
  <c r="O18" i="2" s="1"/>
  <c r="P18" i="2" s="1"/>
  <c r="Q18" i="2" s="1"/>
  <c r="R18" i="2" s="1"/>
  <c r="S18" i="2" s="1"/>
  <c r="T18" i="2" s="1"/>
  <c r="U18" i="2" s="1"/>
  <c r="V18" i="2" s="1"/>
  <c r="W18" i="2" s="1"/>
  <c r="X18" i="2" s="1"/>
  <c r="F25" i="2"/>
  <c r="G25" i="2" s="1"/>
  <c r="H25" i="2" s="1"/>
  <c r="I25" i="2" s="1"/>
  <c r="J25" i="2" s="1"/>
  <c r="K25" i="2" s="1"/>
  <c r="L25" i="2" s="1"/>
  <c r="M25" i="2" s="1"/>
  <c r="N25" i="2" s="1"/>
  <c r="O25" i="2" s="1"/>
  <c r="P25" i="2" s="1"/>
  <c r="Q25" i="2" s="1"/>
  <c r="R25" i="2" s="1"/>
  <c r="S25" i="2" s="1"/>
  <c r="T25" i="2" s="1"/>
  <c r="U25" i="2" s="1"/>
  <c r="V25" i="2" s="1"/>
  <c r="W25" i="2" s="1"/>
  <c r="X25" i="2" s="1"/>
  <c r="F27" i="2"/>
  <c r="G27" i="2" s="1"/>
  <c r="H27" i="2" s="1"/>
  <c r="I27" i="2" s="1"/>
  <c r="J27" i="2" s="1"/>
  <c r="K27" i="2" s="1"/>
  <c r="L27" i="2" s="1"/>
  <c r="M27" i="2" s="1"/>
  <c r="N27" i="2" s="1"/>
  <c r="O27" i="2" s="1"/>
  <c r="P27" i="2" s="1"/>
  <c r="Q27" i="2" s="1"/>
  <c r="R27" i="2" s="1"/>
  <c r="S27" i="2" s="1"/>
  <c r="T27" i="2" s="1"/>
  <c r="U27" i="2" s="1"/>
  <c r="V27" i="2" s="1"/>
  <c r="W27" i="2" s="1"/>
  <c r="X27" i="2" s="1"/>
  <c r="F29" i="2"/>
  <c r="G29" i="2" s="1"/>
  <c r="H29" i="2" s="1"/>
  <c r="I29" i="2" s="1"/>
  <c r="J29" i="2" s="1"/>
  <c r="K29" i="2" s="1"/>
  <c r="L29" i="2" s="1"/>
  <c r="M29" i="2" s="1"/>
  <c r="N29" i="2" s="1"/>
  <c r="O29" i="2" s="1"/>
  <c r="P29" i="2" s="1"/>
  <c r="Q29" i="2" s="1"/>
  <c r="R29" i="2" s="1"/>
  <c r="S29" i="2" s="1"/>
  <c r="T29" i="2" s="1"/>
  <c r="U29" i="2" s="1"/>
  <c r="V29" i="2" s="1"/>
  <c r="W29" i="2" s="1"/>
  <c r="X29" i="2" s="1"/>
  <c r="F15" i="2"/>
  <c r="G15" i="2" s="1"/>
  <c r="H15" i="2" s="1"/>
  <c r="I15" i="2" s="1"/>
  <c r="J15" i="2" s="1"/>
  <c r="K15" i="2" s="1"/>
  <c r="L15" i="2" s="1"/>
  <c r="M15" i="2" s="1"/>
  <c r="N15" i="2" s="1"/>
  <c r="O15" i="2" s="1"/>
  <c r="P15" i="2" s="1"/>
  <c r="Q15" i="2" s="1"/>
  <c r="R15" i="2" s="1"/>
  <c r="S15" i="2" s="1"/>
  <c r="T15" i="2" s="1"/>
  <c r="U15" i="2" s="1"/>
  <c r="V15" i="2" s="1"/>
  <c r="W15" i="2" s="1"/>
  <c r="X15" i="2" s="1"/>
  <c r="F23" i="2"/>
  <c r="G23" i="2" s="1"/>
  <c r="H23" i="2" s="1"/>
  <c r="I23" i="2" s="1"/>
  <c r="J23" i="2" s="1"/>
  <c r="K23" i="2" s="1"/>
  <c r="L23" i="2" s="1"/>
  <c r="M23" i="2" s="1"/>
  <c r="N23" i="2" s="1"/>
  <c r="O23" i="2" s="1"/>
  <c r="P23" i="2" s="1"/>
  <c r="Q23" i="2" s="1"/>
  <c r="R23" i="2" s="1"/>
  <c r="S23" i="2" s="1"/>
  <c r="T23" i="2" s="1"/>
  <c r="U23" i="2" s="1"/>
  <c r="V23" i="2" s="1"/>
  <c r="W23" i="2" s="1"/>
  <c r="X23" i="2" s="1"/>
  <c r="G24" i="2"/>
  <c r="H24" i="2" s="1"/>
  <c r="I24" i="2" s="1"/>
  <c r="J24" i="2" s="1"/>
  <c r="K24" i="2" s="1"/>
  <c r="L24" i="2" s="1"/>
  <c r="M24" i="2" s="1"/>
  <c r="N24" i="2" s="1"/>
  <c r="O24" i="2" s="1"/>
  <c r="P24" i="2" s="1"/>
  <c r="Q24" i="2" s="1"/>
  <c r="R24" i="2" s="1"/>
  <c r="S24" i="2" s="1"/>
  <c r="T24" i="2" s="1"/>
  <c r="U24" i="2" s="1"/>
  <c r="V24" i="2" s="1"/>
  <c r="W24" i="2" s="1"/>
  <c r="X24" i="2" s="1"/>
  <c r="F28" i="2"/>
  <c r="G28" i="2" s="1"/>
  <c r="H28" i="2" s="1"/>
  <c r="I28" i="2" s="1"/>
  <c r="J28" i="2" s="1"/>
  <c r="K28" i="2" s="1"/>
  <c r="L28" i="2" s="1"/>
  <c r="M28" i="2" s="1"/>
  <c r="N28" i="2" s="1"/>
  <c r="O28" i="2" s="1"/>
  <c r="P28" i="2" s="1"/>
  <c r="Q28" i="2" s="1"/>
  <c r="R28" i="2" s="1"/>
  <c r="S28" i="2" s="1"/>
  <c r="T28" i="2" s="1"/>
  <c r="U28" i="2" s="1"/>
  <c r="V28" i="2" s="1"/>
  <c r="W28" i="2" s="1"/>
  <c r="X28" i="2" s="1"/>
  <c r="I44" i="2"/>
  <c r="C31" i="1"/>
  <c r="C34" i="1" s="1"/>
  <c r="C36" i="1" s="1"/>
  <c r="I41" i="1"/>
  <c r="J41" i="1" s="1"/>
  <c r="I8" i="1"/>
  <c r="J8" i="1" s="1"/>
  <c r="K8" i="1" s="1"/>
  <c r="L8" i="1" s="1"/>
  <c r="M8" i="1" s="1"/>
  <c r="N8" i="1" s="1"/>
  <c r="O8" i="1" s="1"/>
  <c r="P8" i="1" s="1"/>
  <c r="Q8" i="1" s="1"/>
  <c r="R8" i="1" s="1"/>
  <c r="S8" i="1" s="1"/>
  <c r="T8" i="1" s="1"/>
  <c r="U8" i="1" s="1"/>
  <c r="V8" i="1" s="1"/>
  <c r="W8" i="1" s="1"/>
  <c r="X8" i="1" s="1"/>
  <c r="X14" i="1" s="1"/>
  <c r="X16" i="1" s="1"/>
  <c r="F28" i="1"/>
  <c r="F24" i="1"/>
  <c r="G24" i="1" s="1"/>
  <c r="H24" i="1" s="1"/>
  <c r="I24" i="1" s="1"/>
  <c r="J24" i="1" s="1"/>
  <c r="K24" i="1" s="1"/>
  <c r="L24" i="1" s="1"/>
  <c r="M24" i="1" s="1"/>
  <c r="N24" i="1" s="1"/>
  <c r="O24" i="1" s="1"/>
  <c r="P24" i="1" s="1"/>
  <c r="Q24" i="1" s="1"/>
  <c r="R24" i="1" s="1"/>
  <c r="S24" i="1" s="1"/>
  <c r="T24" i="1" s="1"/>
  <c r="U24" i="1" s="1"/>
  <c r="V24" i="1" s="1"/>
  <c r="W24" i="1" s="1"/>
  <c r="X24" i="1" s="1"/>
  <c r="G22" i="1"/>
  <c r="G27" i="1"/>
  <c r="H27" i="1" s="1"/>
  <c r="I27" i="1" s="1"/>
  <c r="J27" i="1" s="1"/>
  <c r="K27" i="1" s="1"/>
  <c r="L27" i="1" s="1"/>
  <c r="M27" i="1" s="1"/>
  <c r="N27" i="1" s="1"/>
  <c r="O27" i="1" s="1"/>
  <c r="P27" i="1" s="1"/>
  <c r="Q27" i="1" s="1"/>
  <c r="R27" i="1" s="1"/>
  <c r="S27" i="1" s="1"/>
  <c r="T27" i="1" s="1"/>
  <c r="U27" i="1" s="1"/>
  <c r="V27" i="1" s="1"/>
  <c r="W27" i="1" s="1"/>
  <c r="X27" i="1" s="1"/>
  <c r="G28" i="1"/>
  <c r="H28" i="1" s="1"/>
  <c r="I28" i="1" s="1"/>
  <c r="J28" i="1" s="1"/>
  <c r="K28" i="1" s="1"/>
  <c r="L28" i="1" s="1"/>
  <c r="M28" i="1" s="1"/>
  <c r="N28" i="1" s="1"/>
  <c r="O28" i="1" s="1"/>
  <c r="P28" i="1" s="1"/>
  <c r="Q28" i="1" s="1"/>
  <c r="R28" i="1" s="1"/>
  <c r="S28" i="1" s="1"/>
  <c r="T28" i="1" s="1"/>
  <c r="U28" i="1" s="1"/>
  <c r="V28" i="1" s="1"/>
  <c r="W28" i="1" s="1"/>
  <c r="X28" i="1" s="1"/>
  <c r="G15" i="1"/>
  <c r="H15" i="1" s="1"/>
  <c r="I15" i="1" s="1"/>
  <c r="J15" i="1" s="1"/>
  <c r="K15" i="1" s="1"/>
  <c r="L15" i="1" s="1"/>
  <c r="M15" i="1" s="1"/>
  <c r="N15" i="1" s="1"/>
  <c r="O15" i="1" s="1"/>
  <c r="P15" i="1" s="1"/>
  <c r="Q15" i="1" s="1"/>
  <c r="R15" i="1" s="1"/>
  <c r="S15" i="1" s="1"/>
  <c r="T15" i="1" s="1"/>
  <c r="U15" i="1" s="1"/>
  <c r="V15" i="1" s="1"/>
  <c r="W15" i="1" s="1"/>
  <c r="X15" i="1" s="1"/>
  <c r="G25" i="1"/>
  <c r="H25" i="1" s="1"/>
  <c r="I25" i="1" s="1"/>
  <c r="J25" i="1" s="1"/>
  <c r="K25" i="1" s="1"/>
  <c r="L25" i="1" s="1"/>
  <c r="M25" i="1" s="1"/>
  <c r="N25" i="1" s="1"/>
  <c r="O25" i="1" s="1"/>
  <c r="P25" i="1" s="1"/>
  <c r="Q25" i="1" s="1"/>
  <c r="R25" i="1" s="1"/>
  <c r="S25" i="1" s="1"/>
  <c r="T25" i="1" s="1"/>
  <c r="U25" i="1" s="1"/>
  <c r="V25" i="1" s="1"/>
  <c r="W25" i="1" s="1"/>
  <c r="X25" i="1" s="1"/>
  <c r="G29" i="1"/>
  <c r="H29" i="1" s="1"/>
  <c r="I29" i="1" s="1"/>
  <c r="J29" i="1" s="1"/>
  <c r="K29" i="1" s="1"/>
  <c r="L29" i="1" s="1"/>
  <c r="M29" i="1" s="1"/>
  <c r="N29" i="1" s="1"/>
  <c r="O29" i="1" s="1"/>
  <c r="P29" i="1" s="1"/>
  <c r="Q29" i="1" s="1"/>
  <c r="R29" i="1" s="1"/>
  <c r="S29" i="1" s="1"/>
  <c r="T29" i="1" s="1"/>
  <c r="U29" i="1" s="1"/>
  <c r="V29" i="1" s="1"/>
  <c r="W29" i="1" s="1"/>
  <c r="X29" i="1" s="1"/>
  <c r="F23" i="1"/>
  <c r="G23" i="1" s="1"/>
  <c r="H23" i="1" s="1"/>
  <c r="I23" i="1" s="1"/>
  <c r="J23" i="1" s="1"/>
  <c r="K23" i="1" s="1"/>
  <c r="L23" i="1" s="1"/>
  <c r="M23" i="1" s="1"/>
  <c r="N23" i="1" s="1"/>
  <c r="O23" i="1" s="1"/>
  <c r="P23" i="1" s="1"/>
  <c r="Q23" i="1" s="1"/>
  <c r="R23" i="1" s="1"/>
  <c r="S23" i="1" s="1"/>
  <c r="T23" i="1" s="1"/>
  <c r="U23" i="1" s="1"/>
  <c r="V23" i="1" s="1"/>
  <c r="W23" i="1" s="1"/>
  <c r="X23" i="1" s="1"/>
  <c r="T14" i="1"/>
  <c r="T16" i="1" s="1"/>
  <c r="P14" i="1"/>
  <c r="P16" i="1" s="1"/>
  <c r="L14" i="1"/>
  <c r="L16" i="1" s="1"/>
  <c r="H14" i="1"/>
  <c r="H16" i="1" s="1"/>
  <c r="F14" i="1"/>
  <c r="F16" i="1" s="1"/>
  <c r="E14" i="1"/>
  <c r="E16" i="1" s="1"/>
  <c r="U14" i="1"/>
  <c r="U16" i="1" s="1"/>
  <c r="Q14" i="1"/>
  <c r="Q16" i="1" s="1"/>
  <c r="M14" i="1"/>
  <c r="M16" i="1" s="1"/>
  <c r="I14" i="1"/>
  <c r="I16" i="1" s="1"/>
  <c r="AC41" i="10" l="1"/>
  <c r="AC42" i="10" s="1"/>
  <c r="AC44" i="10" s="1"/>
  <c r="AC46" i="10" s="1"/>
  <c r="AB46" i="10"/>
  <c r="AB45" i="10"/>
  <c r="T34" i="7"/>
  <c r="T39" i="7" s="1"/>
  <c r="T20" i="7"/>
  <c r="S41" i="7"/>
  <c r="S42" i="7" s="1"/>
  <c r="S44" i="7" s="1"/>
  <c r="R45" i="7"/>
  <c r="X47" i="7"/>
  <c r="X48" i="7" s="1"/>
  <c r="W48" i="7"/>
  <c r="S73" i="7"/>
  <c r="S74" i="7" s="1"/>
  <c r="U19" i="7"/>
  <c r="W8" i="7"/>
  <c r="V14" i="7"/>
  <c r="W30" i="7"/>
  <c r="W31" i="7" s="1"/>
  <c r="X22" i="7"/>
  <c r="X30" i="7" s="1"/>
  <c r="R75" i="7"/>
  <c r="H22" i="1"/>
  <c r="G31" i="1"/>
  <c r="H23" i="4"/>
  <c r="P73" i="6"/>
  <c r="P74" i="6" s="1"/>
  <c r="O74" i="6"/>
  <c r="O75" i="6" s="1"/>
  <c r="F31" i="2"/>
  <c r="F31" i="1"/>
  <c r="Q34" i="6"/>
  <c r="Q39" i="6" s="1"/>
  <c r="Q20" i="6"/>
  <c r="T48" i="6"/>
  <c r="U47" i="6"/>
  <c r="S14" i="6"/>
  <c r="T5" i="6"/>
  <c r="R17" i="6"/>
  <c r="R19" i="6" s="1"/>
  <c r="R30" i="6"/>
  <c r="S22" i="6"/>
  <c r="Q31" i="6"/>
  <c r="R46" i="5"/>
  <c r="S45" i="5"/>
  <c r="M20" i="5"/>
  <c r="P22" i="5"/>
  <c r="N17" i="5"/>
  <c r="N19" i="5" s="1"/>
  <c r="O31" i="5"/>
  <c r="O14" i="5"/>
  <c r="P5" i="5"/>
  <c r="N32" i="5"/>
  <c r="I14" i="4"/>
  <c r="J5" i="4"/>
  <c r="J30" i="4" s="1"/>
  <c r="H17" i="4"/>
  <c r="I9" i="4"/>
  <c r="J9" i="4" s="1"/>
  <c r="K9" i="4" s="1"/>
  <c r="L9" i="4" s="1"/>
  <c r="M9" i="4" s="1"/>
  <c r="N9" i="4" s="1"/>
  <c r="O9" i="4" s="1"/>
  <c r="P9" i="4" s="1"/>
  <c r="Q9" i="4" s="1"/>
  <c r="R9" i="4" s="1"/>
  <c r="S9" i="4" s="1"/>
  <c r="T9" i="4" s="1"/>
  <c r="U9" i="4" s="1"/>
  <c r="V9" i="4" s="1"/>
  <c r="W9" i="4" s="1"/>
  <c r="X9" i="4" s="1"/>
  <c r="H22" i="4"/>
  <c r="H28" i="4"/>
  <c r="H27" i="4"/>
  <c r="H15" i="4"/>
  <c r="M44" i="4"/>
  <c r="H18" i="4"/>
  <c r="H25" i="4"/>
  <c r="G14" i="1"/>
  <c r="G16" i="1" s="1"/>
  <c r="O14" i="1"/>
  <c r="O16" i="1" s="1"/>
  <c r="W14" i="1"/>
  <c r="W16" i="1" s="1"/>
  <c r="J14" i="1"/>
  <c r="J16" i="1" s="1"/>
  <c r="R14" i="1"/>
  <c r="R16" i="1" s="1"/>
  <c r="K14" i="1"/>
  <c r="K16" i="1" s="1"/>
  <c r="S14" i="1"/>
  <c r="S16" i="1" s="1"/>
  <c r="N14" i="1"/>
  <c r="N16" i="1" s="1"/>
  <c r="V14" i="1"/>
  <c r="V16" i="1" s="1"/>
  <c r="E40" i="3"/>
  <c r="H9" i="3"/>
  <c r="I9" i="3" s="1"/>
  <c r="J9" i="3" s="1"/>
  <c r="K9" i="3" s="1"/>
  <c r="L9" i="3" s="1"/>
  <c r="M9" i="3" s="1"/>
  <c r="N9" i="3" s="1"/>
  <c r="O9" i="3" s="1"/>
  <c r="P9" i="3" s="1"/>
  <c r="Q9" i="3" s="1"/>
  <c r="R9" i="3" s="1"/>
  <c r="S9" i="3" s="1"/>
  <c r="T9" i="3" s="1"/>
  <c r="U9" i="3" s="1"/>
  <c r="V9" i="3" s="1"/>
  <c r="W9" i="3" s="1"/>
  <c r="X9" i="3" s="1"/>
  <c r="G22" i="3"/>
  <c r="F19" i="3"/>
  <c r="G23" i="3"/>
  <c r="G27" i="3"/>
  <c r="G18" i="3"/>
  <c r="G15" i="3"/>
  <c r="G29" i="3"/>
  <c r="H5" i="3"/>
  <c r="G14" i="3"/>
  <c r="G28" i="3"/>
  <c r="C40" i="2"/>
  <c r="D39" i="2"/>
  <c r="D42" i="2" s="1"/>
  <c r="E19" i="2"/>
  <c r="J44" i="2"/>
  <c r="G22" i="2"/>
  <c r="G31" i="2" s="1"/>
  <c r="G5" i="2"/>
  <c r="F14" i="2"/>
  <c r="K41" i="1"/>
  <c r="L41" i="1" s="1"/>
  <c r="M41" i="1" s="1"/>
  <c r="F18" i="1"/>
  <c r="E18" i="1"/>
  <c r="E33" i="1" s="1"/>
  <c r="E34" i="1" s="1"/>
  <c r="E36" i="1" s="1"/>
  <c r="E39" i="1" s="1"/>
  <c r="E40" i="1" s="1"/>
  <c r="H18" i="1"/>
  <c r="H29" i="3" l="1"/>
  <c r="I29" i="3" s="1"/>
  <c r="J29" i="3" s="1"/>
  <c r="K29" i="3" s="1"/>
  <c r="L29" i="3" s="1"/>
  <c r="M29" i="3" s="1"/>
  <c r="N29" i="3" s="1"/>
  <c r="O29" i="3" s="1"/>
  <c r="P29" i="3" s="1"/>
  <c r="Q29" i="3" s="1"/>
  <c r="R29" i="3" s="1"/>
  <c r="S29" i="3" s="1"/>
  <c r="T29" i="3" s="1"/>
  <c r="U29" i="3" s="1"/>
  <c r="V29" i="3" s="1"/>
  <c r="W29" i="3" s="1"/>
  <c r="X29" i="3" s="1"/>
  <c r="H23" i="3"/>
  <c r="I23" i="3" s="1"/>
  <c r="J23" i="3" s="1"/>
  <c r="K23" i="3" s="1"/>
  <c r="L23" i="3" s="1"/>
  <c r="M23" i="3" s="1"/>
  <c r="N23" i="3" s="1"/>
  <c r="O23" i="3" s="1"/>
  <c r="P23" i="3" s="1"/>
  <c r="Q23" i="3" s="1"/>
  <c r="R23" i="3" s="1"/>
  <c r="S23" i="3" s="1"/>
  <c r="T23" i="3" s="1"/>
  <c r="U23" i="3" s="1"/>
  <c r="V23" i="3" s="1"/>
  <c r="W23" i="3" s="1"/>
  <c r="X23" i="3" s="1"/>
  <c r="H18" i="3"/>
  <c r="I18" i="3" s="1"/>
  <c r="J18" i="3" s="1"/>
  <c r="K18" i="3" s="1"/>
  <c r="L18" i="3" s="1"/>
  <c r="M18" i="3" s="1"/>
  <c r="N18" i="3" s="1"/>
  <c r="O18" i="3" s="1"/>
  <c r="P18" i="3" s="1"/>
  <c r="Q18" i="3" s="1"/>
  <c r="R18" i="3" s="1"/>
  <c r="S18" i="3" s="1"/>
  <c r="T18" i="3" s="1"/>
  <c r="U18" i="3" s="1"/>
  <c r="V18" i="3" s="1"/>
  <c r="W18" i="3" s="1"/>
  <c r="X18" i="3" s="1"/>
  <c r="AC45" i="10"/>
  <c r="H25" i="3"/>
  <c r="I25" i="3" s="1"/>
  <c r="J25" i="3" s="1"/>
  <c r="K25" i="3" s="1"/>
  <c r="L25" i="3" s="1"/>
  <c r="M25" i="3" s="1"/>
  <c r="N25" i="3" s="1"/>
  <c r="O25" i="3" s="1"/>
  <c r="P25" i="3" s="1"/>
  <c r="Q25" i="3" s="1"/>
  <c r="R25" i="3" s="1"/>
  <c r="S25" i="3" s="1"/>
  <c r="T25" i="3" s="1"/>
  <c r="U25" i="3" s="1"/>
  <c r="V25" i="3" s="1"/>
  <c r="W25" i="3" s="1"/>
  <c r="X25" i="3" s="1"/>
  <c r="H31" i="4"/>
  <c r="X31" i="7"/>
  <c r="S45" i="7"/>
  <c r="T41" i="7"/>
  <c r="T42" i="7" s="1"/>
  <c r="T44" i="7" s="1"/>
  <c r="U34" i="7"/>
  <c r="U39" i="7" s="1"/>
  <c r="U20" i="7"/>
  <c r="S75" i="7"/>
  <c r="V19" i="7"/>
  <c r="X8" i="7"/>
  <c r="X14" i="7" s="1"/>
  <c r="W14" i="7"/>
  <c r="T73" i="7"/>
  <c r="G31" i="3"/>
  <c r="Q73" i="6"/>
  <c r="Q74" i="6" s="1"/>
  <c r="P75" i="6"/>
  <c r="I22" i="1"/>
  <c r="H31" i="1"/>
  <c r="L41" i="6"/>
  <c r="L42" i="6" s="1"/>
  <c r="L44" i="6" s="1"/>
  <c r="R34" i="6"/>
  <c r="R39" i="6" s="1"/>
  <c r="R20" i="6"/>
  <c r="S30" i="6"/>
  <c r="T22" i="6"/>
  <c r="R31" i="6"/>
  <c r="U5" i="6"/>
  <c r="T14" i="6"/>
  <c r="V47" i="6"/>
  <c r="U48" i="6"/>
  <c r="S17" i="6"/>
  <c r="S19" i="6" s="1"/>
  <c r="T45" i="5"/>
  <c r="S46" i="5"/>
  <c r="N20" i="5"/>
  <c r="O32" i="5"/>
  <c r="O17" i="5"/>
  <c r="O19" i="5" s="1"/>
  <c r="Q22" i="5"/>
  <c r="P31" i="5"/>
  <c r="P14" i="5"/>
  <c r="Q5" i="5"/>
  <c r="I18" i="4"/>
  <c r="J18" i="4" s="1"/>
  <c r="K18" i="4" s="1"/>
  <c r="L18" i="4" s="1"/>
  <c r="M18" i="4" s="1"/>
  <c r="N18" i="4" s="1"/>
  <c r="O18" i="4" s="1"/>
  <c r="P18" i="4" s="1"/>
  <c r="Q18" i="4" s="1"/>
  <c r="R18" i="4" s="1"/>
  <c r="S18" i="4" s="1"/>
  <c r="T18" i="4" s="1"/>
  <c r="U18" i="4" s="1"/>
  <c r="V18" i="4" s="1"/>
  <c r="W18" i="4" s="1"/>
  <c r="X18" i="4" s="1"/>
  <c r="I28" i="4"/>
  <c r="J28" i="4" s="1"/>
  <c r="K28" i="4" s="1"/>
  <c r="L28" i="4" s="1"/>
  <c r="M28" i="4" s="1"/>
  <c r="N28" i="4" s="1"/>
  <c r="O28" i="4" s="1"/>
  <c r="P28" i="4" s="1"/>
  <c r="Q28" i="4" s="1"/>
  <c r="R28" i="4" s="1"/>
  <c r="S28" i="4" s="1"/>
  <c r="T28" i="4" s="1"/>
  <c r="U28" i="4" s="1"/>
  <c r="V28" i="4" s="1"/>
  <c r="W28" i="4" s="1"/>
  <c r="X28" i="4" s="1"/>
  <c r="I29" i="4"/>
  <c r="J29" i="4" s="1"/>
  <c r="K29" i="4" s="1"/>
  <c r="L29" i="4" s="1"/>
  <c r="M29" i="4" s="1"/>
  <c r="N29" i="4" s="1"/>
  <c r="O29" i="4" s="1"/>
  <c r="P29" i="4" s="1"/>
  <c r="Q29" i="4" s="1"/>
  <c r="R29" i="4" s="1"/>
  <c r="S29" i="4" s="1"/>
  <c r="T29" i="4" s="1"/>
  <c r="U29" i="4" s="1"/>
  <c r="V29" i="4" s="1"/>
  <c r="W29" i="4" s="1"/>
  <c r="X29" i="4" s="1"/>
  <c r="I15" i="4"/>
  <c r="J15" i="4" s="1"/>
  <c r="K15" i="4" s="1"/>
  <c r="L15" i="4" s="1"/>
  <c r="M15" i="4" s="1"/>
  <c r="N15" i="4" s="1"/>
  <c r="O15" i="4" s="1"/>
  <c r="P15" i="4" s="1"/>
  <c r="Q15" i="4" s="1"/>
  <c r="R15" i="4" s="1"/>
  <c r="S15" i="4" s="1"/>
  <c r="T15" i="4" s="1"/>
  <c r="U15" i="4" s="1"/>
  <c r="V15" i="4" s="1"/>
  <c r="W15" i="4" s="1"/>
  <c r="X15" i="4" s="1"/>
  <c r="I24" i="4"/>
  <c r="J24" i="4" s="1"/>
  <c r="K24" i="4" s="1"/>
  <c r="L24" i="4" s="1"/>
  <c r="M24" i="4" s="1"/>
  <c r="N24" i="4" s="1"/>
  <c r="O24" i="4" s="1"/>
  <c r="P24" i="4" s="1"/>
  <c r="Q24" i="4" s="1"/>
  <c r="R24" i="4" s="1"/>
  <c r="S24" i="4" s="1"/>
  <c r="T24" i="4" s="1"/>
  <c r="U24" i="4" s="1"/>
  <c r="V24" i="4" s="1"/>
  <c r="W24" i="4" s="1"/>
  <c r="X24" i="4" s="1"/>
  <c r="I25" i="4"/>
  <c r="J25" i="4" s="1"/>
  <c r="K25" i="4" s="1"/>
  <c r="L25" i="4" s="1"/>
  <c r="M25" i="4" s="1"/>
  <c r="N25" i="4" s="1"/>
  <c r="O25" i="4" s="1"/>
  <c r="P25" i="4" s="1"/>
  <c r="Q25" i="4" s="1"/>
  <c r="R25" i="4" s="1"/>
  <c r="S25" i="4" s="1"/>
  <c r="T25" i="4" s="1"/>
  <c r="U25" i="4" s="1"/>
  <c r="V25" i="4" s="1"/>
  <c r="W25" i="4" s="1"/>
  <c r="X25" i="4" s="1"/>
  <c r="I27" i="4"/>
  <c r="J27" i="4" s="1"/>
  <c r="K27" i="4" s="1"/>
  <c r="L27" i="4" s="1"/>
  <c r="M27" i="4" s="1"/>
  <c r="N27" i="4" s="1"/>
  <c r="O27" i="4" s="1"/>
  <c r="P27" i="4" s="1"/>
  <c r="Q27" i="4" s="1"/>
  <c r="R27" i="4" s="1"/>
  <c r="S27" i="4" s="1"/>
  <c r="T27" i="4" s="1"/>
  <c r="U27" i="4" s="1"/>
  <c r="V27" i="4" s="1"/>
  <c r="W27" i="4" s="1"/>
  <c r="X27" i="4" s="1"/>
  <c r="N44" i="4"/>
  <c r="K5" i="4"/>
  <c r="K30" i="4" s="1"/>
  <c r="J14" i="4"/>
  <c r="H32" i="4"/>
  <c r="I22" i="4"/>
  <c r="I17" i="4"/>
  <c r="H19" i="4"/>
  <c r="H20" i="4" s="1"/>
  <c r="I23" i="4"/>
  <c r="J23" i="4" s="1"/>
  <c r="K23" i="4" s="1"/>
  <c r="L23" i="4" s="1"/>
  <c r="M23" i="4" s="1"/>
  <c r="N23" i="4" s="1"/>
  <c r="O23" i="4" s="1"/>
  <c r="P23" i="4" s="1"/>
  <c r="Q23" i="4" s="1"/>
  <c r="R23" i="4" s="1"/>
  <c r="S23" i="4" s="1"/>
  <c r="T23" i="4" s="1"/>
  <c r="U23" i="4" s="1"/>
  <c r="V23" i="4" s="1"/>
  <c r="W23" i="4" s="1"/>
  <c r="X23" i="4" s="1"/>
  <c r="G18" i="1"/>
  <c r="G44" i="3"/>
  <c r="H44" i="3" s="1"/>
  <c r="I44" i="3" s="1"/>
  <c r="G17" i="3"/>
  <c r="G19" i="3" s="1"/>
  <c r="H22" i="3"/>
  <c r="H14" i="3"/>
  <c r="I5" i="3"/>
  <c r="F34" i="3"/>
  <c r="F39" i="3" s="1"/>
  <c r="H28" i="3"/>
  <c r="I28" i="3" s="1"/>
  <c r="J28" i="3" s="1"/>
  <c r="K28" i="3" s="1"/>
  <c r="L28" i="3" s="1"/>
  <c r="M28" i="3" s="1"/>
  <c r="N28" i="3" s="1"/>
  <c r="O28" i="3" s="1"/>
  <c r="P28" i="3" s="1"/>
  <c r="Q28" i="3" s="1"/>
  <c r="R28" i="3" s="1"/>
  <c r="S28" i="3" s="1"/>
  <c r="T28" i="3" s="1"/>
  <c r="U28" i="3" s="1"/>
  <c r="V28" i="3" s="1"/>
  <c r="W28" i="3" s="1"/>
  <c r="X28" i="3" s="1"/>
  <c r="H15" i="3"/>
  <c r="I15" i="3" s="1"/>
  <c r="J15" i="3" s="1"/>
  <c r="K15" i="3" s="1"/>
  <c r="L15" i="3" s="1"/>
  <c r="M15" i="3" s="1"/>
  <c r="N15" i="3" s="1"/>
  <c r="O15" i="3" s="1"/>
  <c r="P15" i="3" s="1"/>
  <c r="Q15" i="3" s="1"/>
  <c r="R15" i="3" s="1"/>
  <c r="S15" i="3" s="1"/>
  <c r="T15" i="3" s="1"/>
  <c r="U15" i="3" s="1"/>
  <c r="V15" i="3" s="1"/>
  <c r="W15" i="3" s="1"/>
  <c r="X15" i="3" s="1"/>
  <c r="H27" i="3"/>
  <c r="I27" i="3" s="1"/>
  <c r="J27" i="3" s="1"/>
  <c r="K27" i="3" s="1"/>
  <c r="L27" i="3" s="1"/>
  <c r="M27" i="3" s="1"/>
  <c r="N27" i="3" s="1"/>
  <c r="O27" i="3" s="1"/>
  <c r="P27" i="3" s="1"/>
  <c r="Q27" i="3" s="1"/>
  <c r="R27" i="3" s="1"/>
  <c r="S27" i="3" s="1"/>
  <c r="T27" i="3" s="1"/>
  <c r="U27" i="3" s="1"/>
  <c r="V27" i="3" s="1"/>
  <c r="W27" i="3" s="1"/>
  <c r="X27" i="3" s="1"/>
  <c r="H24" i="3"/>
  <c r="I24" i="3" s="1"/>
  <c r="J24" i="3" s="1"/>
  <c r="K24" i="3" s="1"/>
  <c r="L24" i="3" s="1"/>
  <c r="M24" i="3" s="1"/>
  <c r="N24" i="3" s="1"/>
  <c r="O24" i="3" s="1"/>
  <c r="P24" i="3" s="1"/>
  <c r="Q24" i="3" s="1"/>
  <c r="R24" i="3" s="1"/>
  <c r="S24" i="3" s="1"/>
  <c r="T24" i="3" s="1"/>
  <c r="U24" i="3" s="1"/>
  <c r="V24" i="3" s="1"/>
  <c r="W24" i="3" s="1"/>
  <c r="X24" i="3" s="1"/>
  <c r="D40" i="2"/>
  <c r="E34" i="2"/>
  <c r="E39" i="2" s="1"/>
  <c r="K44" i="2"/>
  <c r="L44" i="2" s="1"/>
  <c r="G14" i="2"/>
  <c r="H5" i="2"/>
  <c r="F17" i="2"/>
  <c r="F19" i="2" s="1"/>
  <c r="H22" i="2"/>
  <c r="H31" i="2" s="1"/>
  <c r="N41" i="1"/>
  <c r="O41" i="1" s="1"/>
  <c r="F33" i="1"/>
  <c r="F34" i="1" s="1"/>
  <c r="F36" i="1" s="1"/>
  <c r="F39" i="1" s="1"/>
  <c r="F40" i="1" s="1"/>
  <c r="I18" i="1"/>
  <c r="U41" i="7" l="1"/>
  <c r="U42" i="7" s="1"/>
  <c r="U44" i="7" s="1"/>
  <c r="T45" i="7"/>
  <c r="U73" i="7"/>
  <c r="V34" i="7"/>
  <c r="V39" i="7" s="1"/>
  <c r="V20" i="7"/>
  <c r="W19" i="7"/>
  <c r="T74" i="7"/>
  <c r="T75" i="7" s="1"/>
  <c r="X19" i="7"/>
  <c r="R73" i="6"/>
  <c r="H31" i="3"/>
  <c r="I31" i="4"/>
  <c r="I32" i="4" s="1"/>
  <c r="Q75" i="6"/>
  <c r="J22" i="1"/>
  <c r="I31" i="1"/>
  <c r="L45" i="6"/>
  <c r="S34" i="6"/>
  <c r="S39" i="6" s="1"/>
  <c r="T17" i="6"/>
  <c r="T19" i="6" s="1"/>
  <c r="U22" i="6"/>
  <c r="T30" i="6"/>
  <c r="S20" i="6"/>
  <c r="V5" i="6"/>
  <c r="U14" i="6"/>
  <c r="S31" i="6"/>
  <c r="V48" i="6"/>
  <c r="W47" i="6"/>
  <c r="T46" i="5"/>
  <c r="U45" i="5"/>
  <c r="O20" i="5"/>
  <c r="P32" i="5"/>
  <c r="R5" i="5"/>
  <c r="Q31" i="5"/>
  <c r="Q14" i="5"/>
  <c r="R22" i="5"/>
  <c r="P17" i="5"/>
  <c r="P19" i="5" s="1"/>
  <c r="I19" i="4"/>
  <c r="I20" i="4" s="1"/>
  <c r="J22" i="4"/>
  <c r="J31" i="4" s="1"/>
  <c r="J17" i="4"/>
  <c r="J19" i="4" s="1"/>
  <c r="O44" i="4"/>
  <c r="K14" i="4"/>
  <c r="L5" i="4"/>
  <c r="L30" i="4" s="1"/>
  <c r="J44" i="3"/>
  <c r="F40" i="3"/>
  <c r="F42" i="3"/>
  <c r="J5" i="3"/>
  <c r="I14" i="3"/>
  <c r="I22" i="3"/>
  <c r="I31" i="3" s="1"/>
  <c r="H17" i="3"/>
  <c r="H19" i="3" s="1"/>
  <c r="E42" i="2"/>
  <c r="F33" i="2" s="1"/>
  <c r="F34" i="2" s="1"/>
  <c r="F39" i="2" s="1"/>
  <c r="E40" i="2"/>
  <c r="I22" i="2"/>
  <c r="I31" i="2" s="1"/>
  <c r="H14" i="2"/>
  <c r="I5" i="2"/>
  <c r="M44" i="2"/>
  <c r="G17" i="2"/>
  <c r="G19" i="2" s="1"/>
  <c r="P41" i="1"/>
  <c r="Q41" i="1" s="1"/>
  <c r="R41" i="1" s="1"/>
  <c r="S41" i="1" s="1"/>
  <c r="G33" i="1"/>
  <c r="G34" i="1" s="1"/>
  <c r="G36" i="1" s="1"/>
  <c r="J18" i="1"/>
  <c r="V41" i="7" l="1"/>
  <c r="V42" i="7" s="1"/>
  <c r="V44" i="7" s="1"/>
  <c r="U45" i="7"/>
  <c r="V73" i="7"/>
  <c r="V74" i="7" s="1"/>
  <c r="X34" i="7"/>
  <c r="X39" i="7" s="1"/>
  <c r="X20" i="7"/>
  <c r="W34" i="7"/>
  <c r="W39" i="7" s="1"/>
  <c r="W20" i="7"/>
  <c r="U74" i="7"/>
  <c r="U75" i="7" s="1"/>
  <c r="K22" i="1"/>
  <c r="J31" i="1"/>
  <c r="S73" i="6"/>
  <c r="R74" i="6"/>
  <c r="R75" i="6" s="1"/>
  <c r="T34" i="6"/>
  <c r="T39" i="6" s="1"/>
  <c r="T20" i="6"/>
  <c r="V14" i="6"/>
  <c r="W5" i="6"/>
  <c r="U30" i="6"/>
  <c r="V22" i="6"/>
  <c r="U17" i="6"/>
  <c r="U19" i="6" s="1"/>
  <c r="T31" i="6"/>
  <c r="W48" i="6"/>
  <c r="X47" i="6"/>
  <c r="X48" i="6" s="1"/>
  <c r="V45" i="5"/>
  <c r="U46" i="5"/>
  <c r="P20" i="5"/>
  <c r="Q32" i="5"/>
  <c r="Q17" i="5"/>
  <c r="Q19" i="5" s="1"/>
  <c r="S22" i="5"/>
  <c r="R31" i="5"/>
  <c r="R14" i="5"/>
  <c r="S5" i="5"/>
  <c r="G39" i="1"/>
  <c r="H33" i="1" s="1"/>
  <c r="H34" i="1" s="1"/>
  <c r="H36" i="1" s="1"/>
  <c r="G37" i="1"/>
  <c r="J20" i="4"/>
  <c r="K22" i="4"/>
  <c r="K31" i="4" s="1"/>
  <c r="J32" i="4"/>
  <c r="H33" i="4"/>
  <c r="H34" i="4" s="1"/>
  <c r="H39" i="4" s="1"/>
  <c r="H40" i="4" s="1"/>
  <c r="M5" i="4"/>
  <c r="M30" i="4" s="1"/>
  <c r="L14" i="4"/>
  <c r="P44" i="4"/>
  <c r="K17" i="4"/>
  <c r="K19" i="4" s="1"/>
  <c r="K20" i="4" s="1"/>
  <c r="K44" i="3"/>
  <c r="G33" i="3"/>
  <c r="G34" i="3" s="1"/>
  <c r="G39" i="3" s="1"/>
  <c r="G40" i="3" s="1"/>
  <c r="F43" i="3"/>
  <c r="J22" i="3"/>
  <c r="J31" i="3" s="1"/>
  <c r="I17" i="3"/>
  <c r="I19" i="3" s="1"/>
  <c r="J14" i="3"/>
  <c r="K5" i="3"/>
  <c r="E43" i="2"/>
  <c r="F42" i="2"/>
  <c r="G33" i="2" s="1"/>
  <c r="G34" i="2" s="1"/>
  <c r="G39" i="2" s="1"/>
  <c r="F40" i="2"/>
  <c r="I14" i="2"/>
  <c r="J5" i="2"/>
  <c r="H17" i="2"/>
  <c r="H19" i="2" s="1"/>
  <c r="J22" i="2"/>
  <c r="J31" i="2" s="1"/>
  <c r="N44" i="2"/>
  <c r="O44" i="2" s="1"/>
  <c r="T41" i="1"/>
  <c r="U41" i="1" s="1"/>
  <c r="K18" i="1"/>
  <c r="W41" i="7" l="1"/>
  <c r="W42" i="7" s="1"/>
  <c r="W44" i="7" s="1"/>
  <c r="V45" i="7"/>
  <c r="W73" i="7"/>
  <c r="V75" i="7"/>
  <c r="X73" i="7"/>
  <c r="T73" i="6"/>
  <c r="T74" i="6" s="1"/>
  <c r="S74" i="6"/>
  <c r="S75" i="6" s="1"/>
  <c r="K31" i="1"/>
  <c r="L22" i="1"/>
  <c r="M41" i="6"/>
  <c r="M42" i="6" s="1"/>
  <c r="M44" i="6" s="1"/>
  <c r="U34" i="6"/>
  <c r="U39" i="6" s="1"/>
  <c r="U20" i="6"/>
  <c r="X5" i="6"/>
  <c r="X14" i="6" s="1"/>
  <c r="W14" i="6"/>
  <c r="V17" i="6"/>
  <c r="V19" i="6" s="1"/>
  <c r="U31" i="6"/>
  <c r="V30" i="6"/>
  <c r="W22" i="6"/>
  <c r="W45" i="5"/>
  <c r="V46" i="5"/>
  <c r="Q20" i="5"/>
  <c r="T22" i="5"/>
  <c r="S31" i="5"/>
  <c r="S14" i="5"/>
  <c r="T5" i="5"/>
  <c r="R32" i="5"/>
  <c r="R17" i="5"/>
  <c r="R19" i="5" s="1"/>
  <c r="G40" i="1"/>
  <c r="H39" i="1"/>
  <c r="I33" i="1" s="1"/>
  <c r="I34" i="1" s="1"/>
  <c r="I36" i="1" s="1"/>
  <c r="I39" i="1" s="1"/>
  <c r="J33" i="1" s="1"/>
  <c r="J34" i="1" s="1"/>
  <c r="J36" i="1" s="1"/>
  <c r="J39" i="1" s="1"/>
  <c r="H37" i="1"/>
  <c r="H42" i="4"/>
  <c r="H43" i="4" s="1"/>
  <c r="L17" i="4"/>
  <c r="L19" i="4" s="1"/>
  <c r="L20" i="4" s="1"/>
  <c r="M14" i="4"/>
  <c r="N5" i="4"/>
  <c r="N30" i="4" s="1"/>
  <c r="Q44" i="4"/>
  <c r="L22" i="4"/>
  <c r="L31" i="4" s="1"/>
  <c r="K32" i="4"/>
  <c r="L44" i="3"/>
  <c r="G42" i="3"/>
  <c r="H33" i="3" s="1"/>
  <c r="H34" i="3" s="1"/>
  <c r="H39" i="3" s="1"/>
  <c r="H40" i="3" s="1"/>
  <c r="K22" i="3"/>
  <c r="K31" i="3" s="1"/>
  <c r="L5" i="3"/>
  <c r="K14" i="3"/>
  <c r="J17" i="3"/>
  <c r="J19" i="3" s="1"/>
  <c r="F43" i="2"/>
  <c r="G42" i="2"/>
  <c r="H33" i="2" s="1"/>
  <c r="H34" i="2" s="1"/>
  <c r="H39" i="2" s="1"/>
  <c r="G40" i="2"/>
  <c r="I17" i="2"/>
  <c r="I19" i="2" s="1"/>
  <c r="K22" i="2"/>
  <c r="K31" i="2" s="1"/>
  <c r="K5" i="2"/>
  <c r="J14" i="2"/>
  <c r="P44" i="2"/>
  <c r="Q44" i="2" s="1"/>
  <c r="R44" i="2" s="1"/>
  <c r="S44" i="2" s="1"/>
  <c r="T44" i="2" s="1"/>
  <c r="V41" i="1"/>
  <c r="W41" i="1" s="1"/>
  <c r="X41" i="1" s="1"/>
  <c r="L18" i="1"/>
  <c r="K33" i="1" l="1"/>
  <c r="K34" i="1" s="1"/>
  <c r="K36" i="1" s="1"/>
  <c r="K39" i="1" s="1"/>
  <c r="W45" i="7"/>
  <c r="X41" i="7"/>
  <c r="X42" i="7" s="1"/>
  <c r="X44" i="7" s="1"/>
  <c r="X74" i="7"/>
  <c r="X75" i="7" s="1"/>
  <c r="W74" i="7"/>
  <c r="W75" i="7" s="1"/>
  <c r="U73" i="6"/>
  <c r="U74" i="6" s="1"/>
  <c r="L31" i="1"/>
  <c r="M22" i="1"/>
  <c r="T75" i="6"/>
  <c r="M45" i="6"/>
  <c r="V34" i="6"/>
  <c r="V39" i="6" s="1"/>
  <c r="V20" i="6"/>
  <c r="W17" i="6"/>
  <c r="W19" i="6" s="1"/>
  <c r="X17" i="6"/>
  <c r="X19" i="6" s="1"/>
  <c r="V31" i="6"/>
  <c r="W30" i="6"/>
  <c r="X22" i="6"/>
  <c r="X30" i="6" s="1"/>
  <c r="W46" i="5"/>
  <c r="X45" i="5"/>
  <c r="X46" i="5" s="1"/>
  <c r="U22" i="5"/>
  <c r="R20" i="5"/>
  <c r="T31" i="5"/>
  <c r="U5" i="5"/>
  <c r="T14" i="5"/>
  <c r="S32" i="5"/>
  <c r="S17" i="5"/>
  <c r="S19" i="5" s="1"/>
  <c r="H40" i="1"/>
  <c r="I40" i="1" s="1"/>
  <c r="J40" i="1" s="1"/>
  <c r="I33" i="4"/>
  <c r="I34" i="4" s="1"/>
  <c r="I39" i="4" s="1"/>
  <c r="I40" i="4" s="1"/>
  <c r="O5" i="4"/>
  <c r="O30" i="4" s="1"/>
  <c r="N14" i="4"/>
  <c r="L32" i="4"/>
  <c r="M22" i="4"/>
  <c r="M31" i="4" s="1"/>
  <c r="M17" i="4"/>
  <c r="M19" i="4" s="1"/>
  <c r="M20" i="4" s="1"/>
  <c r="R44" i="4"/>
  <c r="S44" i="4" s="1"/>
  <c r="T44" i="4" s="1"/>
  <c r="G43" i="3"/>
  <c r="M44" i="3"/>
  <c r="N44" i="3" s="1"/>
  <c r="O44" i="3" s="1"/>
  <c r="H42" i="3"/>
  <c r="I33" i="3" s="1"/>
  <c r="I34" i="3" s="1"/>
  <c r="I39" i="3" s="1"/>
  <c r="I40" i="3" s="1"/>
  <c r="K17" i="3"/>
  <c r="K19" i="3" s="1"/>
  <c r="L22" i="3"/>
  <c r="L31" i="3" s="1"/>
  <c r="L14" i="3"/>
  <c r="M5" i="3"/>
  <c r="G43" i="2"/>
  <c r="U44" i="2"/>
  <c r="V44" i="2" s="1"/>
  <c r="W44" i="2" s="1"/>
  <c r="X44" i="2" s="1"/>
  <c r="H42" i="2"/>
  <c r="I33" i="2" s="1"/>
  <c r="I34" i="2" s="1"/>
  <c r="I39" i="2" s="1"/>
  <c r="H40" i="2"/>
  <c r="J17" i="2"/>
  <c r="J19" i="2" s="1"/>
  <c r="K14" i="2"/>
  <c r="L5" i="2"/>
  <c r="L22" i="2"/>
  <c r="L31" i="2" s="1"/>
  <c r="M18" i="1"/>
  <c r="L33" i="1" l="1"/>
  <c r="X45" i="7"/>
  <c r="M31" i="1"/>
  <c r="N22" i="1"/>
  <c r="V73" i="6"/>
  <c r="U75" i="6"/>
  <c r="W34" i="6"/>
  <c r="W39" i="6" s="1"/>
  <c r="X34" i="6"/>
  <c r="X39" i="6" s="1"/>
  <c r="X20" i="6"/>
  <c r="W20" i="6"/>
  <c r="W31" i="6"/>
  <c r="X31" i="6"/>
  <c r="S20" i="5"/>
  <c r="T32" i="5"/>
  <c r="T17" i="5"/>
  <c r="T19" i="5" s="1"/>
  <c r="V5" i="5"/>
  <c r="U14" i="5"/>
  <c r="U31" i="5"/>
  <c r="V22" i="5"/>
  <c r="I42" i="4"/>
  <c r="J33" i="4" s="1"/>
  <c r="J34" i="4" s="1"/>
  <c r="J39" i="4" s="1"/>
  <c r="J40" i="4" s="1"/>
  <c r="U44" i="4"/>
  <c r="V44" i="4" s="1"/>
  <c r="W44" i="4" s="1"/>
  <c r="X44" i="4" s="1"/>
  <c r="N17" i="4"/>
  <c r="N19" i="4" s="1"/>
  <c r="N20" i="4" s="1"/>
  <c r="O14" i="4"/>
  <c r="P5" i="4"/>
  <c r="P30" i="4" s="1"/>
  <c r="M32" i="4"/>
  <c r="N22" i="4"/>
  <c r="N31" i="4" s="1"/>
  <c r="H43" i="2"/>
  <c r="P44" i="3"/>
  <c r="Q44" i="3" s="1"/>
  <c r="R44" i="3" s="1"/>
  <c r="S44" i="3" s="1"/>
  <c r="T44" i="3" s="1"/>
  <c r="U44" i="3" s="1"/>
  <c r="V44" i="3" s="1"/>
  <c r="W44" i="3" s="1"/>
  <c r="X44" i="3" s="1"/>
  <c r="H43" i="3"/>
  <c r="I42" i="3"/>
  <c r="N5" i="3"/>
  <c r="M14" i="3"/>
  <c r="M22" i="3"/>
  <c r="M31" i="3" s="1"/>
  <c r="L17" i="3"/>
  <c r="L19" i="3" s="1"/>
  <c r="I42" i="2"/>
  <c r="J33" i="2" s="1"/>
  <c r="J34" i="2" s="1"/>
  <c r="J39" i="2" s="1"/>
  <c r="I40" i="2"/>
  <c r="L14" i="2"/>
  <c r="M5" i="2"/>
  <c r="M22" i="2"/>
  <c r="M31" i="2" s="1"/>
  <c r="K17" i="2"/>
  <c r="K19" i="2" s="1"/>
  <c r="K40" i="1"/>
  <c r="L34" i="1"/>
  <c r="L36" i="1" s="1"/>
  <c r="L39" i="1" s="1"/>
  <c r="N18" i="1"/>
  <c r="M33" i="1" l="1"/>
  <c r="X73" i="6"/>
  <c r="X74" i="6" s="1"/>
  <c r="V74" i="6"/>
  <c r="V75" i="6" s="1"/>
  <c r="W73" i="6"/>
  <c r="W74" i="6" s="1"/>
  <c r="N31" i="1"/>
  <c r="O22" i="1"/>
  <c r="N41" i="6"/>
  <c r="N42" i="6" s="1"/>
  <c r="N44" i="6" s="1"/>
  <c r="U32" i="5"/>
  <c r="V14" i="5"/>
  <c r="W5" i="5"/>
  <c r="T20" i="5"/>
  <c r="U17" i="5"/>
  <c r="U19" i="5" s="1"/>
  <c r="V31" i="5"/>
  <c r="W22" i="5"/>
  <c r="J42" i="4"/>
  <c r="I43" i="4"/>
  <c r="O17" i="4"/>
  <c r="O19" i="4" s="1"/>
  <c r="O20" i="4" s="1"/>
  <c r="O22" i="4"/>
  <c r="O31" i="4" s="1"/>
  <c r="N32" i="4"/>
  <c r="P14" i="4"/>
  <c r="Q5" i="4"/>
  <c r="Q30" i="4" s="1"/>
  <c r="I43" i="2"/>
  <c r="I43" i="3"/>
  <c r="J33" i="3"/>
  <c r="J34" i="3" s="1"/>
  <c r="J39" i="3" s="1"/>
  <c r="J40" i="3" s="1"/>
  <c r="N14" i="3"/>
  <c r="O5" i="3"/>
  <c r="N22" i="3"/>
  <c r="N31" i="3" s="1"/>
  <c r="M17" i="3"/>
  <c r="M19" i="3" s="1"/>
  <c r="J42" i="2"/>
  <c r="K33" i="2" s="1"/>
  <c r="K34" i="2" s="1"/>
  <c r="K39" i="2" s="1"/>
  <c r="J40" i="2"/>
  <c r="N22" i="2"/>
  <c r="N31" i="2" s="1"/>
  <c r="L17" i="2"/>
  <c r="L19" i="2" s="1"/>
  <c r="M14" i="2"/>
  <c r="N5" i="2"/>
  <c r="L40" i="1"/>
  <c r="M34" i="1"/>
  <c r="M36" i="1" s="1"/>
  <c r="M39" i="1" s="1"/>
  <c r="N33" i="1" s="1"/>
  <c r="O18" i="1"/>
  <c r="X75" i="6" l="1"/>
  <c r="W75" i="6"/>
  <c r="O31" i="1"/>
  <c r="P22" i="1"/>
  <c r="N45" i="6"/>
  <c r="U20" i="5"/>
  <c r="X22" i="5"/>
  <c r="W31" i="5"/>
  <c r="W14" i="5"/>
  <c r="X5" i="5"/>
  <c r="V32" i="5"/>
  <c r="V17" i="5"/>
  <c r="V19" i="5" s="1"/>
  <c r="J43" i="4"/>
  <c r="K33" i="4"/>
  <c r="K34" i="4" s="1"/>
  <c r="K39" i="4" s="1"/>
  <c r="K40" i="4" s="1"/>
  <c r="O32" i="4"/>
  <c r="P22" i="4"/>
  <c r="P31" i="4" s="1"/>
  <c r="Q14" i="4"/>
  <c r="R5" i="4"/>
  <c r="R30" i="4" s="1"/>
  <c r="P17" i="4"/>
  <c r="P19" i="4" s="1"/>
  <c r="P20" i="4" s="1"/>
  <c r="J42" i="3"/>
  <c r="K33" i="3" s="1"/>
  <c r="K34" i="3" s="1"/>
  <c r="K39" i="3" s="1"/>
  <c r="K40" i="3" s="1"/>
  <c r="P5" i="3"/>
  <c r="O14" i="3"/>
  <c r="O22" i="3"/>
  <c r="O31" i="3" s="1"/>
  <c r="N17" i="3"/>
  <c r="N19" i="3" s="1"/>
  <c r="J43" i="2"/>
  <c r="K42" i="2"/>
  <c r="L33" i="2" s="1"/>
  <c r="L34" i="2" s="1"/>
  <c r="L39" i="2" s="1"/>
  <c r="K40" i="2"/>
  <c r="M17" i="2"/>
  <c r="M19" i="2" s="1"/>
  <c r="O5" i="2"/>
  <c r="N14" i="2"/>
  <c r="O22" i="2"/>
  <c r="O31" i="2" s="1"/>
  <c r="M40" i="1"/>
  <c r="N34" i="1"/>
  <c r="N36" i="1" s="1"/>
  <c r="N39" i="1" s="1"/>
  <c r="O33" i="1" s="1"/>
  <c r="P18" i="1"/>
  <c r="P31" i="1" l="1"/>
  <c r="Q22" i="1"/>
  <c r="W32" i="5"/>
  <c r="X31" i="5"/>
  <c r="X14" i="5"/>
  <c r="V20" i="5"/>
  <c r="W17" i="5"/>
  <c r="W19" i="5" s="1"/>
  <c r="K42" i="4"/>
  <c r="L33" i="4" s="1"/>
  <c r="L34" i="4" s="1"/>
  <c r="L39" i="4" s="1"/>
  <c r="S5" i="4"/>
  <c r="S30" i="4" s="1"/>
  <c r="R14" i="4"/>
  <c r="Q17" i="4"/>
  <c r="Q19" i="4" s="1"/>
  <c r="Q20" i="4" s="1"/>
  <c r="P32" i="4"/>
  <c r="Q22" i="4"/>
  <c r="Q31" i="4" s="1"/>
  <c r="K42" i="3"/>
  <c r="L33" i="3" s="1"/>
  <c r="L34" i="3" s="1"/>
  <c r="L39" i="3" s="1"/>
  <c r="L40" i="3" s="1"/>
  <c r="J43" i="3"/>
  <c r="P14" i="3"/>
  <c r="Q5" i="3"/>
  <c r="P22" i="3"/>
  <c r="P31" i="3" s="1"/>
  <c r="O17" i="3"/>
  <c r="O19" i="3" s="1"/>
  <c r="K43" i="2"/>
  <c r="L42" i="2"/>
  <c r="M33" i="2" s="1"/>
  <c r="M34" i="2" s="1"/>
  <c r="M39" i="2" s="1"/>
  <c r="L40" i="2"/>
  <c r="N17" i="2"/>
  <c r="N19" i="2" s="1"/>
  <c r="P22" i="2"/>
  <c r="P31" i="2" s="1"/>
  <c r="O14" i="2"/>
  <c r="P5" i="2"/>
  <c r="N40" i="1"/>
  <c r="O34" i="1"/>
  <c r="O36" i="1" s="1"/>
  <c r="O39" i="1" s="1"/>
  <c r="P33" i="1" s="1"/>
  <c r="Q18" i="1"/>
  <c r="Q31" i="1" l="1"/>
  <c r="R22" i="1"/>
  <c r="O41" i="6"/>
  <c r="O42" i="6" s="1"/>
  <c r="O44" i="6" s="1"/>
  <c r="W20" i="5"/>
  <c r="X32" i="5"/>
  <c r="X17" i="5"/>
  <c r="X19" i="5" s="1"/>
  <c r="K43" i="4"/>
  <c r="L40" i="4"/>
  <c r="L42" i="4"/>
  <c r="Q32" i="4"/>
  <c r="R22" i="4"/>
  <c r="R31" i="4" s="1"/>
  <c r="S14" i="4"/>
  <c r="T5" i="4"/>
  <c r="T30" i="4" s="1"/>
  <c r="R17" i="4"/>
  <c r="R19" i="4" s="1"/>
  <c r="R20" i="4" s="1"/>
  <c r="K43" i="3"/>
  <c r="L42" i="3"/>
  <c r="M33" i="3" s="1"/>
  <c r="M34" i="3" s="1"/>
  <c r="M39" i="3" s="1"/>
  <c r="M40" i="3" s="1"/>
  <c r="P17" i="3"/>
  <c r="P19" i="3" s="1"/>
  <c r="Q22" i="3"/>
  <c r="Q31" i="3" s="1"/>
  <c r="R5" i="3"/>
  <c r="Q14" i="3"/>
  <c r="L43" i="2"/>
  <c r="M42" i="2"/>
  <c r="N33" i="2" s="1"/>
  <c r="N34" i="2" s="1"/>
  <c r="N39" i="2" s="1"/>
  <c r="M40" i="2"/>
  <c r="P14" i="2"/>
  <c r="Q5" i="2"/>
  <c r="Q22" i="2"/>
  <c r="Q31" i="2" s="1"/>
  <c r="O17" i="2"/>
  <c r="O19" i="2" s="1"/>
  <c r="O40" i="1"/>
  <c r="P34" i="1"/>
  <c r="P36" i="1" s="1"/>
  <c r="P39" i="1" s="1"/>
  <c r="Q33" i="1" s="1"/>
  <c r="R18" i="1"/>
  <c r="R31" i="1" l="1"/>
  <c r="S22" i="1"/>
  <c r="O45" i="6"/>
  <c r="X20" i="5"/>
  <c r="M33" i="4"/>
  <c r="M34" i="4" s="1"/>
  <c r="M39" i="4" s="1"/>
  <c r="L43" i="4"/>
  <c r="S17" i="4"/>
  <c r="S19" i="4" s="1"/>
  <c r="S20" i="4" s="1"/>
  <c r="S22" i="4"/>
  <c r="S31" i="4" s="1"/>
  <c r="R32" i="4"/>
  <c r="U5" i="4"/>
  <c r="U30" i="4" s="1"/>
  <c r="T14" i="4"/>
  <c r="M42" i="3"/>
  <c r="N33" i="3" s="1"/>
  <c r="N34" i="3" s="1"/>
  <c r="N39" i="3" s="1"/>
  <c r="N40" i="3" s="1"/>
  <c r="L43" i="3"/>
  <c r="Q17" i="3"/>
  <c r="Q19" i="3" s="1"/>
  <c r="R22" i="3"/>
  <c r="R31" i="3" s="1"/>
  <c r="R14" i="3"/>
  <c r="S5" i="3"/>
  <c r="M43" i="2"/>
  <c r="N42" i="2"/>
  <c r="N40" i="2"/>
  <c r="R22" i="2"/>
  <c r="R31" i="2" s="1"/>
  <c r="P17" i="2"/>
  <c r="P19" i="2" s="1"/>
  <c r="Q14" i="2"/>
  <c r="R5" i="2"/>
  <c r="P40" i="1"/>
  <c r="Q34" i="1"/>
  <c r="Q36" i="1" s="1"/>
  <c r="Q39" i="1" s="1"/>
  <c r="S18" i="1"/>
  <c r="R33" i="1" l="1"/>
  <c r="S31" i="1"/>
  <c r="T22" i="1"/>
  <c r="M40" i="4"/>
  <c r="M42" i="4"/>
  <c r="T17" i="4"/>
  <c r="T19" i="4" s="1"/>
  <c r="T20" i="4" s="1"/>
  <c r="S32" i="4"/>
  <c r="T22" i="4"/>
  <c r="T31" i="4" s="1"/>
  <c r="V5" i="4"/>
  <c r="V30" i="4" s="1"/>
  <c r="U14" i="4"/>
  <c r="M43" i="3"/>
  <c r="N42" i="3"/>
  <c r="O33" i="3" s="1"/>
  <c r="O34" i="3" s="1"/>
  <c r="O39" i="3" s="1"/>
  <c r="O40" i="3" s="1"/>
  <c r="R17" i="3"/>
  <c r="R19" i="3" s="1"/>
  <c r="S22" i="3"/>
  <c r="S31" i="3" s="1"/>
  <c r="T5" i="3"/>
  <c r="S14" i="3"/>
  <c r="N43" i="2"/>
  <c r="O33" i="2"/>
  <c r="O34" i="2" s="1"/>
  <c r="O39" i="2" s="1"/>
  <c r="S5" i="2"/>
  <c r="R14" i="2"/>
  <c r="S22" i="2"/>
  <c r="S31" i="2" s="1"/>
  <c r="Q17" i="2"/>
  <c r="Q19" i="2" s="1"/>
  <c r="Q40" i="1"/>
  <c r="R34" i="1"/>
  <c r="R36" i="1" s="1"/>
  <c r="R39" i="1" s="1"/>
  <c r="S33" i="1" s="1"/>
  <c r="T18" i="1"/>
  <c r="T31" i="1" l="1"/>
  <c r="U22" i="1"/>
  <c r="P41" i="6"/>
  <c r="P42" i="6" s="1"/>
  <c r="P44" i="6" s="1"/>
  <c r="M43" i="4"/>
  <c r="N33" i="4"/>
  <c r="N34" i="4" s="1"/>
  <c r="N39" i="4" s="1"/>
  <c r="N40" i="4" s="1"/>
  <c r="U17" i="4"/>
  <c r="U19" i="4" s="1"/>
  <c r="U20" i="4" s="1"/>
  <c r="W5" i="4"/>
  <c r="W30" i="4" s="1"/>
  <c r="V14" i="4"/>
  <c r="T32" i="4"/>
  <c r="U22" i="4"/>
  <c r="U31" i="4" s="1"/>
  <c r="N43" i="3"/>
  <c r="T14" i="3"/>
  <c r="U5" i="3"/>
  <c r="S17" i="3"/>
  <c r="S19" i="3" s="1"/>
  <c r="T22" i="3"/>
  <c r="T31" i="3" s="1"/>
  <c r="O42" i="3"/>
  <c r="O42" i="2"/>
  <c r="O43" i="2" s="1"/>
  <c r="S14" i="2"/>
  <c r="T5" i="2"/>
  <c r="T22" i="2"/>
  <c r="T31" i="2" s="1"/>
  <c r="R17" i="2"/>
  <c r="R19" i="2" s="1"/>
  <c r="R40" i="1"/>
  <c r="S34" i="1"/>
  <c r="S36" i="1" s="1"/>
  <c r="S39" i="1" s="1"/>
  <c r="T33" i="1" s="1"/>
  <c r="U18" i="1"/>
  <c r="U31" i="1" l="1"/>
  <c r="V22" i="1"/>
  <c r="P45" i="6"/>
  <c r="N42" i="4"/>
  <c r="O33" i="4" s="1"/>
  <c r="O34" i="4" s="1"/>
  <c r="O39" i="4" s="1"/>
  <c r="O40" i="4" s="1"/>
  <c r="V17" i="4"/>
  <c r="V19" i="4" s="1"/>
  <c r="V20" i="4" s="1"/>
  <c r="U32" i="4"/>
  <c r="V22" i="4"/>
  <c r="V31" i="4" s="1"/>
  <c r="W14" i="4"/>
  <c r="X5" i="4"/>
  <c r="O43" i="3"/>
  <c r="P33" i="3"/>
  <c r="P34" i="3" s="1"/>
  <c r="P39" i="3" s="1"/>
  <c r="P40" i="3" s="1"/>
  <c r="T17" i="3"/>
  <c r="T19" i="3" s="1"/>
  <c r="U22" i="3"/>
  <c r="U31" i="3" s="1"/>
  <c r="V5" i="3"/>
  <c r="U14" i="3"/>
  <c r="O40" i="2"/>
  <c r="P33" i="2"/>
  <c r="P34" i="2" s="1"/>
  <c r="P39" i="2" s="1"/>
  <c r="S17" i="2"/>
  <c r="S19" i="2" s="1"/>
  <c r="U22" i="2"/>
  <c r="U31" i="2" s="1"/>
  <c r="T14" i="2"/>
  <c r="U5" i="2"/>
  <c r="S40" i="1"/>
  <c r="T34" i="1"/>
  <c r="T36" i="1" s="1"/>
  <c r="T39" i="1" s="1"/>
  <c r="U33" i="1" s="1"/>
  <c r="V18" i="1"/>
  <c r="V31" i="1" l="1"/>
  <c r="W22" i="1"/>
  <c r="X14" i="4"/>
  <c r="X17" i="4" s="1"/>
  <c r="X19" i="4" s="1"/>
  <c r="X30" i="4"/>
  <c r="N43" i="4"/>
  <c r="O42" i="4"/>
  <c r="W17" i="4"/>
  <c r="W19" i="4" s="1"/>
  <c r="W20" i="4" s="1"/>
  <c r="W22" i="4"/>
  <c r="W31" i="4" s="1"/>
  <c r="V32" i="4"/>
  <c r="U17" i="3"/>
  <c r="U19" i="3" s="1"/>
  <c r="V22" i="3"/>
  <c r="V31" i="3" s="1"/>
  <c r="V14" i="3"/>
  <c r="W5" i="3"/>
  <c r="P42" i="3"/>
  <c r="P40" i="2"/>
  <c r="U14" i="2"/>
  <c r="V5" i="2"/>
  <c r="T17" i="2"/>
  <c r="T19" i="2" s="1"/>
  <c r="V22" i="2"/>
  <c r="V31" i="2" s="1"/>
  <c r="T40" i="1"/>
  <c r="U34" i="1"/>
  <c r="U36" i="1" s="1"/>
  <c r="U39" i="1" s="1"/>
  <c r="V33" i="1" s="1"/>
  <c r="W18" i="1"/>
  <c r="X18" i="1"/>
  <c r="W31" i="1" l="1"/>
  <c r="X22" i="1"/>
  <c r="X31" i="1" s="1"/>
  <c r="Q41" i="6"/>
  <c r="Q42" i="6" s="1"/>
  <c r="Q44" i="6" s="1"/>
  <c r="X20" i="4"/>
  <c r="P33" i="4"/>
  <c r="P34" i="4" s="1"/>
  <c r="P39" i="4" s="1"/>
  <c r="O43" i="4"/>
  <c r="W32" i="4"/>
  <c r="X22" i="4"/>
  <c r="X31" i="4" s="1"/>
  <c r="V17" i="3"/>
  <c r="V19" i="3" s="1"/>
  <c r="Q33" i="3"/>
  <c r="Q34" i="3" s="1"/>
  <c r="Q39" i="3" s="1"/>
  <c r="Q40" i="3" s="1"/>
  <c r="P43" i="3"/>
  <c r="X5" i="3"/>
  <c r="X14" i="3" s="1"/>
  <c r="W14" i="3"/>
  <c r="W22" i="3"/>
  <c r="W31" i="3" s="1"/>
  <c r="P42" i="2"/>
  <c r="P43" i="2" s="1"/>
  <c r="W22" i="2"/>
  <c r="W31" i="2" s="1"/>
  <c r="W5" i="2"/>
  <c r="V14" i="2"/>
  <c r="U17" i="2"/>
  <c r="U19" i="2" s="1"/>
  <c r="U40" i="1"/>
  <c r="V34" i="1"/>
  <c r="V36" i="1" s="1"/>
  <c r="V39" i="1" s="1"/>
  <c r="W33" i="1" s="1"/>
  <c r="Q45" i="6" l="1"/>
  <c r="X32" i="4"/>
  <c r="P40" i="4"/>
  <c r="P42" i="4"/>
  <c r="Q42" i="3"/>
  <c r="Q43" i="3" s="1"/>
  <c r="X22" i="3"/>
  <c r="X31" i="3" s="1"/>
  <c r="W17" i="3"/>
  <c r="W19" i="3" s="1"/>
  <c r="X17" i="3"/>
  <c r="X19" i="3" s="1"/>
  <c r="Q33" i="2"/>
  <c r="Q34" i="2" s="1"/>
  <c r="Q39" i="2" s="1"/>
  <c r="Q42" i="2" s="1"/>
  <c r="V17" i="2"/>
  <c r="V19" i="2" s="1"/>
  <c r="X22" i="2"/>
  <c r="X31" i="2" s="1"/>
  <c r="W14" i="2"/>
  <c r="X5" i="2"/>
  <c r="X14" i="2" s="1"/>
  <c r="V40" i="1"/>
  <c r="W34" i="1"/>
  <c r="W36" i="1" s="1"/>
  <c r="W39" i="1" s="1"/>
  <c r="X33" i="1" s="1"/>
  <c r="Q33" i="4" l="1"/>
  <c r="Q34" i="4" s="1"/>
  <c r="Q39" i="4" s="1"/>
  <c r="P43" i="4"/>
  <c r="R33" i="3"/>
  <c r="R34" i="3" s="1"/>
  <c r="R39" i="3" s="1"/>
  <c r="Q40" i="2"/>
  <c r="R33" i="2"/>
  <c r="R34" i="2" s="1"/>
  <c r="Q43" i="2"/>
  <c r="X17" i="2"/>
  <c r="X19" i="2" s="1"/>
  <c r="W17" i="2"/>
  <c r="W19" i="2" s="1"/>
  <c r="W40" i="1"/>
  <c r="X34" i="1"/>
  <c r="X36" i="1" s="1"/>
  <c r="X39" i="1" s="1"/>
  <c r="R41" i="6" l="1"/>
  <c r="R42" i="6" s="1"/>
  <c r="R44" i="6" s="1"/>
  <c r="Q40" i="4"/>
  <c r="Q42" i="4"/>
  <c r="R40" i="3"/>
  <c r="R42" i="3"/>
  <c r="R39" i="2"/>
  <c r="R40" i="2" s="1"/>
  <c r="X40" i="1"/>
  <c r="R45" i="6" l="1"/>
  <c r="R33" i="4"/>
  <c r="R34" i="4" s="1"/>
  <c r="R39" i="4" s="1"/>
  <c r="Q43" i="4"/>
  <c r="S33" i="3"/>
  <c r="S34" i="3" s="1"/>
  <c r="S39" i="3" s="1"/>
  <c r="R43" i="3"/>
  <c r="R42" i="2"/>
  <c r="R43" i="2" s="1"/>
  <c r="R40" i="4" l="1"/>
  <c r="R42" i="4"/>
  <c r="S40" i="3"/>
  <c r="S42" i="3"/>
  <c r="S33" i="2"/>
  <c r="S34" i="2" s="1"/>
  <c r="S39" i="2" s="1"/>
  <c r="S40" i="2" s="1"/>
  <c r="S41" i="6" l="1"/>
  <c r="S42" i="6" s="1"/>
  <c r="S44" i="6" s="1"/>
  <c r="S33" i="4"/>
  <c r="S34" i="4" s="1"/>
  <c r="S39" i="4" s="1"/>
  <c r="R43" i="4"/>
  <c r="S43" i="3"/>
  <c r="T33" i="3"/>
  <c r="T34" i="3" s="1"/>
  <c r="T39" i="3" s="1"/>
  <c r="T40" i="3" s="1"/>
  <c r="S42" i="2"/>
  <c r="S43" i="2" s="1"/>
  <c r="S45" i="6" l="1"/>
  <c r="S40" i="4"/>
  <c r="S42" i="4"/>
  <c r="T42" i="3"/>
  <c r="T33" i="2"/>
  <c r="T34" i="2" s="1"/>
  <c r="S43" i="4" l="1"/>
  <c r="T33" i="4"/>
  <c r="T34" i="4" s="1"/>
  <c r="T39" i="4" s="1"/>
  <c r="T43" i="3"/>
  <c r="U33" i="3"/>
  <c r="U34" i="3" s="1"/>
  <c r="U39" i="3" s="1"/>
  <c r="U40" i="3" s="1"/>
  <c r="T39" i="2"/>
  <c r="T40" i="2" s="1"/>
  <c r="T41" i="6" l="1"/>
  <c r="T42" i="6" s="1"/>
  <c r="T44" i="6" s="1"/>
  <c r="T40" i="4"/>
  <c r="T42" i="4"/>
  <c r="U42" i="3"/>
  <c r="U43" i="3" s="1"/>
  <c r="T42" i="2"/>
  <c r="T43" i="2" s="1"/>
  <c r="T45" i="6" l="1"/>
  <c r="T43" i="4"/>
  <c r="U33" i="4"/>
  <c r="U34" i="4" s="1"/>
  <c r="U39" i="4" s="1"/>
  <c r="U40" i="4" s="1"/>
  <c r="V33" i="3"/>
  <c r="V34" i="3" s="1"/>
  <c r="V39" i="3" s="1"/>
  <c r="V40" i="3" s="1"/>
  <c r="U33" i="2"/>
  <c r="U34" i="2" s="1"/>
  <c r="U39" i="2" s="1"/>
  <c r="U42" i="2" s="1"/>
  <c r="U42" i="4" l="1"/>
  <c r="V42" i="3"/>
  <c r="W33" i="3" s="1"/>
  <c r="W34" i="3" s="1"/>
  <c r="W39" i="3" s="1"/>
  <c r="W40" i="3" s="1"/>
  <c r="V33" i="2"/>
  <c r="V34" i="2" s="1"/>
  <c r="V39" i="2" s="1"/>
  <c r="V40" i="2" s="1"/>
  <c r="U43" i="2"/>
  <c r="U40" i="2"/>
  <c r="U41" i="6" l="1"/>
  <c r="U42" i="6" s="1"/>
  <c r="U44" i="6" s="1"/>
  <c r="V33" i="4"/>
  <c r="V34" i="4" s="1"/>
  <c r="V39" i="4" s="1"/>
  <c r="V40" i="4" s="1"/>
  <c r="U43" i="4"/>
  <c r="V43" i="3"/>
  <c r="W42" i="3"/>
  <c r="V42" i="2"/>
  <c r="W33" i="2" s="1"/>
  <c r="W34" i="2" s="1"/>
  <c r="W39" i="2" s="1"/>
  <c r="U45" i="6" l="1"/>
  <c r="V42" i="4"/>
  <c r="W43" i="3"/>
  <c r="X33" i="3"/>
  <c r="X34" i="3" s="1"/>
  <c r="X39" i="3" s="1"/>
  <c r="X40" i="3" s="1"/>
  <c r="V43" i="2"/>
  <c r="W40" i="2"/>
  <c r="V43" i="4" l="1"/>
  <c r="W33" i="4"/>
  <c r="W34" i="4" s="1"/>
  <c r="W39" i="4" s="1"/>
  <c r="W40" i="4" s="1"/>
  <c r="X42" i="3"/>
  <c r="X43" i="3" s="1"/>
  <c r="W42" i="2"/>
  <c r="W43" i="2" s="1"/>
  <c r="V41" i="6" l="1"/>
  <c r="V42" i="6" s="1"/>
  <c r="V44" i="6" s="1"/>
  <c r="W42" i="4"/>
  <c r="X33" i="2"/>
  <c r="X34" i="2" s="1"/>
  <c r="V45" i="6" l="1"/>
  <c r="W43" i="4"/>
  <c r="X33" i="4"/>
  <c r="X34" i="4" s="1"/>
  <c r="X39" i="4" s="1"/>
  <c r="X40" i="4" s="1"/>
  <c r="X39" i="2"/>
  <c r="X40" i="2" s="1"/>
  <c r="X42" i="4" l="1"/>
  <c r="X43" i="4" s="1"/>
  <c r="X42" i="2"/>
  <c r="X43" i="2" s="1"/>
  <c r="W41" i="6" l="1"/>
  <c r="W42" i="6" s="1"/>
  <c r="W44" i="6" s="1"/>
  <c r="H44" i="5"/>
  <c r="W45" i="6" l="1"/>
  <c r="I44" i="5"/>
  <c r="J44" i="5" l="1"/>
  <c r="X41" i="6" l="1"/>
  <c r="X42" i="6" s="1"/>
  <c r="X44" i="6" s="1"/>
  <c r="X45" i="6" s="1"/>
  <c r="K44" i="5"/>
  <c r="L44" i="5" s="1"/>
  <c r="M44" i="5" s="1"/>
  <c r="N44" i="5" l="1"/>
  <c r="O44" i="5" l="1"/>
  <c r="P44" i="5" l="1"/>
  <c r="Q44" i="5" s="1"/>
  <c r="R44" i="5" s="1"/>
  <c r="S44" i="5" s="1"/>
  <c r="T44" i="5" s="1"/>
  <c r="U44" i="5" s="1"/>
  <c r="V44" i="5" s="1"/>
  <c r="W44" i="5" s="1"/>
  <c r="X44" i="5" s="1"/>
  <c r="G39" i="5" l="1"/>
  <c r="G40" i="5" s="1"/>
  <c r="H39" i="5"/>
  <c r="H40" i="5" s="1"/>
  <c r="H42" i="5" l="1"/>
  <c r="I33" i="5" l="1"/>
  <c r="I34" i="5" s="1"/>
  <c r="I39" i="5" s="1"/>
  <c r="H43" i="5"/>
  <c r="I42" i="5" l="1"/>
  <c r="I40" i="5"/>
  <c r="J33" i="5" l="1"/>
  <c r="J34" i="5" s="1"/>
  <c r="J39" i="5" s="1"/>
  <c r="J40" i="5" s="1"/>
  <c r="I43" i="5"/>
  <c r="J42" i="5" l="1"/>
  <c r="J43" i="5" l="1"/>
  <c r="K33" i="5"/>
  <c r="K34" i="5" s="1"/>
  <c r="K39" i="5" s="1"/>
  <c r="K40" i="5" s="1"/>
  <c r="K42" i="5" l="1"/>
  <c r="K43" i="5" s="1"/>
  <c r="L33" i="5" l="1"/>
  <c r="L34" i="5" s="1"/>
  <c r="L39" i="5" s="1"/>
  <c r="L40" i="5" s="1"/>
  <c r="L42" i="5" l="1"/>
  <c r="L43" i="5" s="1"/>
  <c r="M33" i="5" l="1"/>
  <c r="M34" i="5" s="1"/>
  <c r="M39" i="5" s="1"/>
  <c r="M40" i="5" s="1"/>
  <c r="M42" i="5" l="1"/>
  <c r="N33" i="5" s="1"/>
  <c r="N34" i="5" s="1"/>
  <c r="N39" i="5" s="1"/>
  <c r="N40" i="5" s="1"/>
  <c r="N42" i="5" l="1"/>
  <c r="O33" i="5" s="1"/>
  <c r="O34" i="5" s="1"/>
  <c r="O39" i="5" s="1"/>
  <c r="O40" i="5" s="1"/>
  <c r="M43" i="5"/>
  <c r="O42" i="5" l="1"/>
  <c r="N43" i="5"/>
  <c r="O43" i="5" l="1"/>
  <c r="P33" i="5"/>
  <c r="P34" i="5" s="1"/>
  <c r="P39" i="5" s="1"/>
  <c r="P40" i="5" s="1"/>
  <c r="P42" i="5" l="1"/>
  <c r="P43" i="5" s="1"/>
  <c r="Q33" i="5" l="1"/>
  <c r="Q34" i="5" s="1"/>
  <c r="Q39" i="5" s="1"/>
  <c r="Q40" i="5" s="1"/>
  <c r="Q42" i="5" l="1"/>
  <c r="R33" i="5" s="1"/>
  <c r="R34" i="5" s="1"/>
  <c r="R39" i="5" s="1"/>
  <c r="R40" i="5" s="1"/>
  <c r="R42" i="5" l="1"/>
  <c r="Q43" i="5"/>
  <c r="S33" i="5" l="1"/>
  <c r="S34" i="5" s="1"/>
  <c r="S39" i="5" s="1"/>
  <c r="S40" i="5" s="1"/>
  <c r="R43" i="5"/>
  <c r="S42" i="5" l="1"/>
  <c r="S43" i="5" l="1"/>
  <c r="T33" i="5"/>
  <c r="T34" i="5" s="1"/>
  <c r="T39" i="5" s="1"/>
  <c r="T40" i="5" s="1"/>
  <c r="T42" i="5" l="1"/>
  <c r="T43" i="5" s="1"/>
  <c r="U33" i="5" l="1"/>
  <c r="U34" i="5" s="1"/>
  <c r="U39" i="5" s="1"/>
  <c r="U40" i="5" s="1"/>
  <c r="U42" i="5" l="1"/>
  <c r="U43" i="5" s="1"/>
  <c r="V33" i="5" l="1"/>
  <c r="V34" i="5" s="1"/>
  <c r="V39" i="5" s="1"/>
  <c r="V40" i="5" s="1"/>
  <c r="V42" i="5" l="1"/>
  <c r="V43" i="5" s="1"/>
  <c r="W33" i="5" l="1"/>
  <c r="W34" i="5" s="1"/>
  <c r="W39" i="5" s="1"/>
  <c r="W40" i="5" s="1"/>
  <c r="W42" i="5" l="1"/>
  <c r="X33" i="5" s="1"/>
  <c r="X34" i="5" s="1"/>
  <c r="X39" i="5" s="1"/>
  <c r="X40" i="5" s="1"/>
  <c r="W43" i="5" l="1"/>
  <c r="X42" i="5"/>
  <c r="X43" i="5" s="1"/>
  <c r="M8" i="11"/>
  <c r="M14" i="11" s="1"/>
  <c r="M19" i="11" s="1"/>
  <c r="N8" i="11" l="1"/>
  <c r="O8" i="11" s="1"/>
  <c r="O14" i="11" s="1"/>
  <c r="O19" i="11" s="1"/>
  <c r="M41" i="11"/>
  <c r="M20" i="11"/>
  <c r="M34" i="11"/>
  <c r="N14" i="11" l="1"/>
  <c r="N19" i="11" s="1"/>
  <c r="N34" i="11" s="1"/>
  <c r="P8" i="11"/>
  <c r="P14" i="11" s="1"/>
  <c r="P19" i="11" s="1"/>
  <c r="N20" i="11"/>
  <c r="M39" i="11"/>
  <c r="M42" i="11" s="1"/>
  <c r="M44" i="11" s="1"/>
  <c r="M74" i="11"/>
  <c r="O20" i="11"/>
  <c r="O34" i="11"/>
  <c r="Q8" i="11" l="1"/>
  <c r="Q14" i="11" s="1"/>
  <c r="Q19" i="11" s="1"/>
  <c r="M45" i="11"/>
  <c r="N41" i="11"/>
  <c r="M46" i="11"/>
  <c r="P34" i="11"/>
  <c r="P20" i="11"/>
  <c r="O39" i="11"/>
  <c r="O74" i="11"/>
  <c r="O75" i="11" s="1"/>
  <c r="M75" i="11"/>
  <c r="M76" i="11" s="1"/>
  <c r="N39" i="11"/>
  <c r="N74" i="11"/>
  <c r="N75" i="11" s="1"/>
  <c r="N42" i="11" l="1"/>
  <c r="N44" i="11" s="1"/>
  <c r="R8" i="11"/>
  <c r="O41" i="11"/>
  <c r="O42" i="11" s="1"/>
  <c r="O44" i="11" s="1"/>
  <c r="N46" i="11"/>
  <c r="N45" i="11"/>
  <c r="P74" i="11"/>
  <c r="P75" i="11" s="1"/>
  <c r="P39" i="11"/>
  <c r="N76" i="11"/>
  <c r="O76" i="11"/>
  <c r="S8" i="11"/>
  <c r="R14" i="11"/>
  <c r="R19" i="11" s="1"/>
  <c r="Q34" i="11"/>
  <c r="Q20" i="11"/>
  <c r="O46" i="11" l="1"/>
  <c r="O45" i="11"/>
  <c r="P41" i="11"/>
  <c r="S14" i="11"/>
  <c r="S19" i="11" s="1"/>
  <c r="T8" i="11"/>
  <c r="R20" i="11"/>
  <c r="R34" i="11"/>
  <c r="P42" i="11"/>
  <c r="P44" i="11" s="1"/>
  <c r="Q39" i="11"/>
  <c r="Q74" i="11"/>
  <c r="P76" i="11"/>
  <c r="R39" i="11" l="1"/>
  <c r="R74" i="11"/>
  <c r="R75" i="11" s="1"/>
  <c r="Q75" i="11"/>
  <c r="Q76" i="11" s="1"/>
  <c r="T14" i="11"/>
  <c r="T19" i="11" s="1"/>
  <c r="U8" i="11"/>
  <c r="P45" i="11"/>
  <c r="Q41" i="11"/>
  <c r="Q42" i="11" s="1"/>
  <c r="Q44" i="11" s="1"/>
  <c r="P46" i="11"/>
  <c r="S20" i="11"/>
  <c r="S34" i="11"/>
  <c r="Q46" i="11" l="1"/>
  <c r="R41" i="11"/>
  <c r="Q45" i="11"/>
  <c r="S74" i="11"/>
  <c r="S75" i="11" s="1"/>
  <c r="S39" i="11"/>
  <c r="U14" i="11"/>
  <c r="U19" i="11" s="1"/>
  <c r="V8" i="11"/>
  <c r="T34" i="11"/>
  <c r="T20" i="11"/>
  <c r="R76" i="11"/>
  <c r="R42" i="11"/>
  <c r="R44" i="11" s="1"/>
  <c r="R46" i="11" l="1"/>
  <c r="R45" i="11"/>
  <c r="S41" i="11"/>
  <c r="S42" i="11" s="1"/>
  <c r="S44" i="11" s="1"/>
  <c r="T39" i="11"/>
  <c r="T74" i="11"/>
  <c r="U20" i="11"/>
  <c r="U34" i="11"/>
  <c r="W8" i="11"/>
  <c r="V14" i="11"/>
  <c r="V19" i="11" s="1"/>
  <c r="S76" i="11"/>
  <c r="T41" i="11" l="1"/>
  <c r="T42" i="11" s="1"/>
  <c r="T44" i="11" s="1"/>
  <c r="S45" i="11"/>
  <c r="S46" i="11"/>
  <c r="U39" i="11"/>
  <c r="U74" i="11"/>
  <c r="U75" i="11" s="1"/>
  <c r="V34" i="11"/>
  <c r="V20" i="11"/>
  <c r="W14" i="11"/>
  <c r="W19" i="11" s="1"/>
  <c r="X8" i="11"/>
  <c r="T75" i="11"/>
  <c r="T76" i="11" s="1"/>
  <c r="T46" i="11" l="1"/>
  <c r="T45" i="11"/>
  <c r="U41" i="11"/>
  <c r="U42" i="11" s="1"/>
  <c r="U44" i="11" s="1"/>
  <c r="X14" i="11"/>
  <c r="X19" i="11" s="1"/>
  <c r="Y8" i="11"/>
  <c r="W20" i="11"/>
  <c r="W34" i="11"/>
  <c r="U76" i="11"/>
  <c r="V39" i="11"/>
  <c r="V74" i="11"/>
  <c r="V75" i="11" s="1"/>
  <c r="V41" i="11" l="1"/>
  <c r="V42" i="11" s="1"/>
  <c r="V44" i="11" s="1"/>
  <c r="U45" i="11"/>
  <c r="U46" i="11"/>
  <c r="W39" i="11"/>
  <c r="W74" i="11"/>
  <c r="Y14" i="11"/>
  <c r="Y19" i="11" s="1"/>
  <c r="Z8" i="11"/>
  <c r="V76" i="11"/>
  <c r="X20" i="11"/>
  <c r="X34" i="11"/>
  <c r="V45" i="11" l="1"/>
  <c r="W41" i="11"/>
  <c r="W42" i="11" s="1"/>
  <c r="W44" i="11" s="1"/>
  <c r="V46" i="11"/>
  <c r="Y20" i="11"/>
  <c r="Y34" i="11"/>
  <c r="Z14" i="11"/>
  <c r="Z19" i="11" s="1"/>
  <c r="AA8" i="11"/>
  <c r="X74" i="11"/>
  <c r="X75" i="11" s="1"/>
  <c r="X39" i="11"/>
  <c r="W75" i="11"/>
  <c r="W76" i="11" s="1"/>
  <c r="W46" i="11" l="1"/>
  <c r="X41" i="11"/>
  <c r="X42" i="11" s="1"/>
  <c r="X44" i="11" s="1"/>
  <c r="W45" i="11"/>
  <c r="Z34" i="11"/>
  <c r="Z20" i="11"/>
  <c r="X76" i="11"/>
  <c r="AA14" i="11"/>
  <c r="AA19" i="11" s="1"/>
  <c r="AB8" i="11"/>
  <c r="Y39" i="11"/>
  <c r="Y74" i="11"/>
  <c r="Y75" i="11" s="1"/>
  <c r="AC8" i="11" l="1"/>
  <c r="AB14" i="11"/>
  <c r="AB19" i="11" s="1"/>
  <c r="X45" i="11"/>
  <c r="X46" i="11"/>
  <c r="Y41" i="11"/>
  <c r="Y42" i="11" s="1"/>
  <c r="Y44" i="11" s="1"/>
  <c r="Y76" i="11"/>
  <c r="AA20" i="11"/>
  <c r="AA34" i="11"/>
  <c r="Z74" i="11"/>
  <c r="Z39" i="11"/>
  <c r="Y46" i="11" l="1"/>
  <c r="Y45" i="11"/>
  <c r="Z41" i="11"/>
  <c r="Z42" i="11" s="1"/>
  <c r="Z44" i="11" s="1"/>
  <c r="AB20" i="11"/>
  <c r="AB34" i="11"/>
  <c r="AA39" i="11"/>
  <c r="AA74" i="11"/>
  <c r="Z75" i="11"/>
  <c r="Z76" i="11" s="1"/>
  <c r="AC14" i="11"/>
  <c r="AC19" i="11" s="1"/>
  <c r="AA41" i="11" l="1"/>
  <c r="Z45" i="11"/>
  <c r="Z46" i="11"/>
  <c r="AB74" i="11"/>
  <c r="AB75" i="11" s="1"/>
  <c r="AB39" i="11"/>
  <c r="AA75" i="11"/>
  <c r="AA76" i="11" s="1"/>
  <c r="AC20" i="11"/>
  <c r="AC34" i="11"/>
  <c r="AA42" i="11"/>
  <c r="AA44" i="11" s="1"/>
  <c r="AA45" i="11" l="1"/>
  <c r="AA46" i="11"/>
  <c r="AB41" i="11"/>
  <c r="AB42" i="11" s="1"/>
  <c r="AB44" i="11" s="1"/>
  <c r="AC39" i="11"/>
  <c r="AC74" i="11"/>
  <c r="AB76" i="11"/>
  <c r="AB46" i="11" l="1"/>
  <c r="AC41" i="11"/>
  <c r="AC42" i="11" s="1"/>
  <c r="AC44" i="11" s="1"/>
  <c r="AB45" i="11"/>
  <c r="AC75" i="11"/>
  <c r="AC76" i="11" s="1"/>
  <c r="AC46" i="11" l="1"/>
  <c r="AC45" i="11"/>
  <c r="P25" i="17" l="1"/>
  <c r="P15" i="17"/>
  <c r="P20" i="17" l="1"/>
  <c r="P30" i="17"/>
  <c r="P31" i="17" s="1"/>
  <c r="P21" i="17" l="1"/>
  <c r="P34" i="17"/>
  <c r="P39" i="17" l="1"/>
  <c r="P43" i="17" s="1"/>
  <c r="P49" i="17" s="1"/>
  <c r="P75" i="17"/>
  <c r="P50" i="17" l="1"/>
  <c r="P76" i="17"/>
  <c r="P77" i="17" s="1"/>
  <c r="Q15" i="17"/>
  <c r="Q20" i="17" s="1"/>
  <c r="Q21" i="17" s="1"/>
  <c r="Q25" i="17"/>
  <c r="R9" i="17"/>
  <c r="R19" i="17" s="1"/>
  <c r="R28" i="17"/>
  <c r="R15" i="17" l="1"/>
  <c r="R25" i="17"/>
  <c r="S9" i="17"/>
  <c r="T9" i="17" s="1"/>
  <c r="U9" i="17" s="1"/>
  <c r="V9" i="17" s="1"/>
  <c r="W9" i="17" s="1"/>
  <c r="X9" i="17" s="1"/>
  <c r="Y9" i="17" s="1"/>
  <c r="Z9" i="17" s="1"/>
  <c r="AA9" i="17" s="1"/>
  <c r="AB9" i="17" s="1"/>
  <c r="AC9" i="17" s="1"/>
  <c r="AD9" i="17" s="1"/>
  <c r="AE9" i="17" s="1"/>
  <c r="AF9" i="17" s="1"/>
  <c r="AG9" i="17" s="1"/>
  <c r="AH9" i="17" s="1"/>
  <c r="R26" i="17"/>
  <c r="Q30" i="17"/>
  <c r="Q34" i="17" s="1"/>
  <c r="R18" i="17"/>
  <c r="R16" i="17"/>
  <c r="R29" i="17"/>
  <c r="R27" i="17"/>
  <c r="S27" i="17" s="1"/>
  <c r="T27" i="17" s="1"/>
  <c r="U27" i="17" s="1"/>
  <c r="V27" i="17" s="1"/>
  <c r="W27" i="17" s="1"/>
  <c r="X27" i="17" s="1"/>
  <c r="Y27" i="17" s="1"/>
  <c r="Z27" i="17" s="1"/>
  <c r="AA27" i="17" s="1"/>
  <c r="AB27" i="17" s="1"/>
  <c r="AC27" i="17" s="1"/>
  <c r="AD27" i="17" s="1"/>
  <c r="AE27" i="17" s="1"/>
  <c r="AF27" i="17" s="1"/>
  <c r="AG27" i="17" s="1"/>
  <c r="AH27" i="17" s="1"/>
  <c r="R23" i="17"/>
  <c r="R24" i="17"/>
  <c r="S19" i="17" l="1"/>
  <c r="T19" i="17" s="1"/>
  <c r="U19" i="17" s="1"/>
  <c r="V19" i="17" s="1"/>
  <c r="W19" i="17" s="1"/>
  <c r="X19" i="17" s="1"/>
  <c r="Y19" i="17" s="1"/>
  <c r="Z19" i="17" s="1"/>
  <c r="AA19" i="17" s="1"/>
  <c r="AB19" i="17" s="1"/>
  <c r="AC19" i="17" s="1"/>
  <c r="AD19" i="17" s="1"/>
  <c r="AE19" i="17" s="1"/>
  <c r="AF19" i="17" s="1"/>
  <c r="AG19" i="17" s="1"/>
  <c r="AH19" i="17" s="1"/>
  <c r="Q41" i="17"/>
  <c r="Q45" i="17" s="1"/>
  <c r="Q46" i="17" s="1"/>
  <c r="Q31" i="17"/>
  <c r="S18" i="17"/>
  <c r="T18" i="17" s="1"/>
  <c r="U18" i="17" s="1"/>
  <c r="V18" i="17" s="1"/>
  <c r="W18" i="17" s="1"/>
  <c r="X18" i="17" s="1"/>
  <c r="Y18" i="17" s="1"/>
  <c r="Z18" i="17" s="1"/>
  <c r="AA18" i="17" s="1"/>
  <c r="AB18" i="17" s="1"/>
  <c r="AC18" i="17" s="1"/>
  <c r="AD18" i="17" s="1"/>
  <c r="AE18" i="17" s="1"/>
  <c r="AF18" i="17" s="1"/>
  <c r="AG18" i="17" s="1"/>
  <c r="AH18" i="17" s="1"/>
  <c r="S25" i="17"/>
  <c r="T25" i="17" s="1"/>
  <c r="U25" i="17" s="1"/>
  <c r="V25" i="17" s="1"/>
  <c r="W25" i="17" s="1"/>
  <c r="X25" i="17" s="1"/>
  <c r="Y25" i="17" s="1"/>
  <c r="Z25" i="17" s="1"/>
  <c r="AA25" i="17" s="1"/>
  <c r="AB25" i="17" s="1"/>
  <c r="AC25" i="17" s="1"/>
  <c r="AD25" i="17" s="1"/>
  <c r="AE25" i="17" s="1"/>
  <c r="AF25" i="17" s="1"/>
  <c r="AG25" i="17" s="1"/>
  <c r="AH25" i="17" s="1"/>
  <c r="S29" i="17"/>
  <c r="T29" i="17" s="1"/>
  <c r="U29" i="17" s="1"/>
  <c r="V29" i="17" s="1"/>
  <c r="W29" i="17" s="1"/>
  <c r="X29" i="17" s="1"/>
  <c r="Y29" i="17" s="1"/>
  <c r="Z29" i="17" s="1"/>
  <c r="AA29" i="17" s="1"/>
  <c r="AB29" i="17" s="1"/>
  <c r="AC29" i="17" s="1"/>
  <c r="AD29" i="17" s="1"/>
  <c r="AE29" i="17" s="1"/>
  <c r="AF29" i="17" s="1"/>
  <c r="AG29" i="17" s="1"/>
  <c r="AH29" i="17" s="1"/>
  <c r="S24" i="17"/>
  <c r="T24" i="17" s="1"/>
  <c r="U24" i="17" s="1"/>
  <c r="V24" i="17" s="1"/>
  <c r="W24" i="17" s="1"/>
  <c r="X24" i="17" s="1"/>
  <c r="Y24" i="17" s="1"/>
  <c r="Z24" i="17" s="1"/>
  <c r="AA24" i="17" s="1"/>
  <c r="AB24" i="17" s="1"/>
  <c r="AC24" i="17" s="1"/>
  <c r="AD24" i="17" s="1"/>
  <c r="AE24" i="17" s="1"/>
  <c r="AF24" i="17" s="1"/>
  <c r="AG24" i="17" s="1"/>
  <c r="AH24" i="17" s="1"/>
  <c r="S16" i="17"/>
  <c r="T16" i="17" s="1"/>
  <c r="U16" i="17" s="1"/>
  <c r="V16" i="17" s="1"/>
  <c r="W16" i="17" s="1"/>
  <c r="X16" i="17" s="1"/>
  <c r="Y16" i="17" s="1"/>
  <c r="Z16" i="17" s="1"/>
  <c r="AA16" i="17" s="1"/>
  <c r="AB16" i="17" s="1"/>
  <c r="AC16" i="17" s="1"/>
  <c r="AD16" i="17" s="1"/>
  <c r="AE16" i="17" s="1"/>
  <c r="AF16" i="17" s="1"/>
  <c r="AG16" i="17" s="1"/>
  <c r="AH16" i="17" s="1"/>
  <c r="S15" i="17"/>
  <c r="T15" i="17" s="1"/>
  <c r="U15" i="17" s="1"/>
  <c r="V15" i="17" s="1"/>
  <c r="W15" i="17" s="1"/>
  <c r="X15" i="17" s="1"/>
  <c r="Y15" i="17" s="1"/>
  <c r="Z15" i="17" s="1"/>
  <c r="AA15" i="17" s="1"/>
  <c r="AB15" i="17" s="1"/>
  <c r="AC15" i="17" s="1"/>
  <c r="AD15" i="17" s="1"/>
  <c r="AE15" i="17" s="1"/>
  <c r="AF15" i="17" s="1"/>
  <c r="AG15" i="17" s="1"/>
  <c r="AH15" i="17" s="1"/>
  <c r="S26" i="17"/>
  <c r="T26" i="17" s="1"/>
  <c r="U26" i="17" s="1"/>
  <c r="V26" i="17" s="1"/>
  <c r="W26" i="17" s="1"/>
  <c r="X26" i="17" s="1"/>
  <c r="Y26" i="17" s="1"/>
  <c r="Z26" i="17" s="1"/>
  <c r="AA26" i="17" s="1"/>
  <c r="AB26" i="17" s="1"/>
  <c r="AC26" i="17" s="1"/>
  <c r="AD26" i="17" s="1"/>
  <c r="AE26" i="17" s="1"/>
  <c r="AF26" i="17" s="1"/>
  <c r="AG26" i="17" s="1"/>
  <c r="AH26" i="17" s="1"/>
  <c r="S28" i="17"/>
  <c r="T28" i="17" s="1"/>
  <c r="U28" i="17" s="1"/>
  <c r="V28" i="17" s="1"/>
  <c r="W28" i="17" s="1"/>
  <c r="X28" i="17" s="1"/>
  <c r="Y28" i="17" s="1"/>
  <c r="Z28" i="17" s="1"/>
  <c r="AA28" i="17" s="1"/>
  <c r="AB28" i="17" s="1"/>
  <c r="AC28" i="17" s="1"/>
  <c r="AD28" i="17" s="1"/>
  <c r="AE28" i="17" s="1"/>
  <c r="AF28" i="17" s="1"/>
  <c r="AG28" i="17" s="1"/>
  <c r="AH28" i="17" s="1"/>
  <c r="R20" i="17"/>
  <c r="R21" i="17" s="1"/>
  <c r="S23" i="17"/>
  <c r="R30" i="17"/>
  <c r="R31" i="17" s="1"/>
  <c r="Q47" i="17"/>
  <c r="R41" i="17"/>
  <c r="R45" i="17" s="1"/>
  <c r="Q39" i="17"/>
  <c r="Q75" i="17"/>
  <c r="S8" i="17" l="1"/>
  <c r="S7" i="17" s="1"/>
  <c r="Q43" i="17"/>
  <c r="Q49" i="17" s="1"/>
  <c r="R34" i="17"/>
  <c r="R36" i="17" s="1"/>
  <c r="R39" i="17" s="1"/>
  <c r="R46" i="17"/>
  <c r="T8" i="17"/>
  <c r="R47" i="17"/>
  <c r="R75" i="17"/>
  <c r="R76" i="17" s="1"/>
  <c r="Q50" i="17"/>
  <c r="Q76" i="17"/>
  <c r="Q77" i="17" s="1"/>
  <c r="S14" i="17"/>
  <c r="S20" i="17" s="1"/>
  <c r="T23" i="17"/>
  <c r="S30" i="17"/>
  <c r="S31" i="17" s="1"/>
  <c r="R43" i="17" l="1"/>
  <c r="R49" i="17" s="1"/>
  <c r="R50" i="17" s="1"/>
  <c r="S21" i="17"/>
  <c r="S34" i="17"/>
  <c r="T14" i="17"/>
  <c r="T20" i="17" s="1"/>
  <c r="T7" i="17"/>
  <c r="S41" i="17"/>
  <c r="S45" i="17" s="1"/>
  <c r="U23" i="17"/>
  <c r="T30" i="17"/>
  <c r="T31" i="17" s="1"/>
  <c r="R77" i="17"/>
  <c r="V23" i="17" l="1"/>
  <c r="U30" i="17"/>
  <c r="U31" i="17" s="1"/>
  <c r="S36" i="17"/>
  <c r="S39" i="17" s="1"/>
  <c r="S75" i="17"/>
  <c r="U8" i="17"/>
  <c r="S47" i="17"/>
  <c r="S46" i="17"/>
  <c r="T41" i="17"/>
  <c r="T45" i="17" s="1"/>
  <c r="T34" i="17"/>
  <c r="T21" i="17"/>
  <c r="S43" i="17" l="1"/>
  <c r="S49" i="17" s="1"/>
  <c r="T46" i="17"/>
  <c r="V8" i="17"/>
  <c r="T47" i="17"/>
  <c r="S50" i="17"/>
  <c r="U14" i="17"/>
  <c r="U20" i="17" s="1"/>
  <c r="U7" i="17"/>
  <c r="T75" i="17"/>
  <c r="T76" i="17" s="1"/>
  <c r="T36" i="17"/>
  <c r="T39" i="17" s="1"/>
  <c r="S76" i="17"/>
  <c r="S77" i="17" s="1"/>
  <c r="W23" i="17"/>
  <c r="V30" i="17"/>
  <c r="V31" i="17" s="1"/>
  <c r="T43" i="17" l="1"/>
  <c r="T49" i="17" s="1"/>
  <c r="T50" i="17" s="1"/>
  <c r="W30" i="17"/>
  <c r="W31" i="17" s="1"/>
  <c r="X23" i="17"/>
  <c r="V7" i="17"/>
  <c r="V14" i="17"/>
  <c r="V20" i="17" s="1"/>
  <c r="T77" i="17"/>
  <c r="U34" i="17"/>
  <c r="U21" i="17"/>
  <c r="U41" i="17"/>
  <c r="U45" i="17" s="1"/>
  <c r="U36" i="17" l="1"/>
  <c r="U39" i="17" s="1"/>
  <c r="U75" i="17"/>
  <c r="U76" i="17" s="1"/>
  <c r="Y23" i="17"/>
  <c r="X30" i="17"/>
  <c r="X31" i="17" s="1"/>
  <c r="V34" i="17"/>
  <c r="V21" i="17"/>
  <c r="V41" i="17"/>
  <c r="V45" i="17" s="1"/>
  <c r="W8" i="17"/>
  <c r="U47" i="17"/>
  <c r="U46" i="17"/>
  <c r="V47" i="17" l="1"/>
  <c r="X8" i="17"/>
  <c r="V46" i="17"/>
  <c r="Z23" i="17"/>
  <c r="Y30" i="17"/>
  <c r="Y31" i="17" s="1"/>
  <c r="V36" i="17"/>
  <c r="V39" i="17" s="1"/>
  <c r="V43" i="17" s="1"/>
  <c r="V75" i="17"/>
  <c r="V76" i="17" s="1"/>
  <c r="U43" i="17"/>
  <c r="U49" i="17" s="1"/>
  <c r="U77" i="17"/>
  <c r="W14" i="17"/>
  <c r="W20" i="17" s="1"/>
  <c r="W7" i="17"/>
  <c r="X7" i="17" l="1"/>
  <c r="X14" i="17"/>
  <c r="X20" i="17" s="1"/>
  <c r="W34" i="17"/>
  <c r="W21" i="17"/>
  <c r="AA23" i="17"/>
  <c r="Z30" i="17"/>
  <c r="Z31" i="17" s="1"/>
  <c r="W41" i="17"/>
  <c r="W45" i="17" s="1"/>
  <c r="U50" i="17"/>
  <c r="V49" i="17"/>
  <c r="V77" i="17"/>
  <c r="W47" i="17" l="1"/>
  <c r="X41" i="17"/>
  <c r="X45" i="17" s="1"/>
  <c r="Y8" i="17"/>
  <c r="W46" i="17"/>
  <c r="W75" i="17"/>
  <c r="W76" i="17" s="1"/>
  <c r="W36" i="17"/>
  <c r="W39" i="17" s="1"/>
  <c r="X34" i="17"/>
  <c r="X21" i="17"/>
  <c r="V50" i="17"/>
  <c r="AB23" i="17"/>
  <c r="AA30" i="17"/>
  <c r="AA31" i="17" s="1"/>
  <c r="W43" i="17" l="1"/>
  <c r="W49" i="17" s="1"/>
  <c r="X47" i="17"/>
  <c r="X46" i="17"/>
  <c r="Z8" i="17"/>
  <c r="W50" i="17"/>
  <c r="Y7" i="17"/>
  <c r="Y14" i="17"/>
  <c r="Y20" i="17" s="1"/>
  <c r="X75" i="17"/>
  <c r="X76" i="17" s="1"/>
  <c r="X36" i="17"/>
  <c r="X39" i="17" s="1"/>
  <c r="X43" i="17" s="1"/>
  <c r="X49" i="17" s="1"/>
  <c r="AC23" i="17"/>
  <c r="AB30" i="17"/>
  <c r="AB31" i="17" s="1"/>
  <c r="W77" i="17"/>
  <c r="X50" i="17" l="1"/>
  <c r="AD23" i="17"/>
  <c r="AC30" i="17"/>
  <c r="AC31" i="17" s="1"/>
  <c r="X77" i="17"/>
  <c r="Z14" i="17"/>
  <c r="Z20" i="17" s="1"/>
  <c r="Z7" i="17"/>
  <c r="Y21" i="17"/>
  <c r="Y34" i="17"/>
  <c r="Y41" i="17"/>
  <c r="Y45" i="17" s="1"/>
  <c r="AE23" i="17" l="1"/>
  <c r="AD30" i="17"/>
  <c r="AD31" i="17" s="1"/>
  <c r="Z21" i="17"/>
  <c r="Z34" i="17"/>
  <c r="Y46" i="17"/>
  <c r="Z41" i="17"/>
  <c r="Z45" i="17" s="1"/>
  <c r="Y47" i="17"/>
  <c r="AA8" i="17"/>
  <c r="Y75" i="17"/>
  <c r="Y76" i="17" s="1"/>
  <c r="Y36" i="17"/>
  <c r="Y39" i="17" s="1"/>
  <c r="AB8" i="17" l="1"/>
  <c r="Z46" i="17"/>
  <c r="Z47" i="17"/>
  <c r="Y77" i="17"/>
  <c r="Y43" i="17"/>
  <c r="Y49" i="17" s="1"/>
  <c r="Z36" i="17"/>
  <c r="Z39" i="17"/>
  <c r="Z43" i="17" s="1"/>
  <c r="Z75" i="17"/>
  <c r="Z76" i="17" s="1"/>
  <c r="AA7" i="17"/>
  <c r="AA14" i="17"/>
  <c r="AA20" i="17" s="1"/>
  <c r="AE30" i="17"/>
  <c r="AE31" i="17" s="1"/>
  <c r="AF23" i="17"/>
  <c r="Y50" i="17" l="1"/>
  <c r="Z49" i="17"/>
  <c r="AA34" i="17"/>
  <c r="AA21" i="17"/>
  <c r="AG23" i="17"/>
  <c r="AF30" i="17"/>
  <c r="AF31" i="17" s="1"/>
  <c r="Z77" i="17"/>
  <c r="AA41" i="17"/>
  <c r="AA45" i="17" s="1"/>
  <c r="AB7" i="17"/>
  <c r="AB14" i="17"/>
  <c r="AB20" i="17" s="1"/>
  <c r="AA75" i="17" l="1"/>
  <c r="AA36" i="17"/>
  <c r="AA39" i="17" s="1"/>
  <c r="AA76" i="17"/>
  <c r="AB21" i="17"/>
  <c r="AB34" i="17"/>
  <c r="Z50" i="17"/>
  <c r="AA47" i="17"/>
  <c r="AB41" i="17"/>
  <c r="AB45" i="17" s="1"/>
  <c r="AC8" i="17"/>
  <c r="AA46" i="17"/>
  <c r="AH23" i="17"/>
  <c r="AH30" i="17" s="1"/>
  <c r="AG30" i="17"/>
  <c r="AG31" i="17" s="1"/>
  <c r="AH31" i="17" l="1"/>
  <c r="AA43" i="17"/>
  <c r="AA49" i="17" s="1"/>
  <c r="AA50" i="17" s="1"/>
  <c r="AB46" i="17"/>
  <c r="AD8" i="17"/>
  <c r="AB47" i="17"/>
  <c r="AB75" i="17"/>
  <c r="AB76" i="17" s="1"/>
  <c r="AB36" i="17"/>
  <c r="AB39" i="17" s="1"/>
  <c r="AB43" i="17" s="1"/>
  <c r="AB49" i="17" s="1"/>
  <c r="AA77" i="17"/>
  <c r="AC14" i="17"/>
  <c r="AC20" i="17" s="1"/>
  <c r="AC7" i="17"/>
  <c r="AB50" i="17" l="1"/>
  <c r="AC34" i="17"/>
  <c r="AC21" i="17"/>
  <c r="AC41" i="17"/>
  <c r="AC45" i="17" s="1"/>
  <c r="AB77" i="17"/>
  <c r="AD7" i="17"/>
  <c r="AD14" i="17"/>
  <c r="AD20" i="17" s="1"/>
  <c r="AC36" i="17" l="1"/>
  <c r="AC39" i="17" s="1"/>
  <c r="AC75" i="17"/>
  <c r="AD34" i="17"/>
  <c r="AD21" i="17"/>
  <c r="AE8" i="17"/>
  <c r="AC46" i="17"/>
  <c r="AD41" i="17"/>
  <c r="AD45" i="17" s="1"/>
  <c r="AC47" i="17"/>
  <c r="AF8" i="17" l="1"/>
  <c r="AD47" i="17"/>
  <c r="AD46" i="17"/>
  <c r="AC43" i="17"/>
  <c r="AC49" i="17" s="1"/>
  <c r="AE14" i="17"/>
  <c r="AE20" i="17" s="1"/>
  <c r="AE7" i="17"/>
  <c r="AD75" i="17"/>
  <c r="AD36" i="17"/>
  <c r="AD39" i="17" s="1"/>
  <c r="AD43" i="17" s="1"/>
  <c r="AD76" i="17"/>
  <c r="AC76" i="17"/>
  <c r="AC77" i="17" s="1"/>
  <c r="AD77" i="17" l="1"/>
  <c r="AE34" i="17"/>
  <c r="AE21" i="17"/>
  <c r="AC50" i="17"/>
  <c r="AD49" i="17"/>
  <c r="AE41" i="17"/>
  <c r="AE45" i="17" s="1"/>
  <c r="AF14" i="17"/>
  <c r="AF20" i="17" s="1"/>
  <c r="AF7" i="17"/>
  <c r="AF41" i="17" l="1"/>
  <c r="AF45" i="17" s="1"/>
  <c r="AE46" i="17"/>
  <c r="AG8" i="17"/>
  <c r="AE47" i="17"/>
  <c r="AE36" i="17"/>
  <c r="AE75" i="17"/>
  <c r="AE76" i="17" s="1"/>
  <c r="AE39" i="17"/>
  <c r="AF34" i="17"/>
  <c r="AF21" i="17"/>
  <c r="AD50" i="17"/>
  <c r="AE43" i="17" l="1"/>
  <c r="AE49" i="17" s="1"/>
  <c r="AE50" i="17" s="1"/>
  <c r="AF46" i="17"/>
  <c r="AG46" i="17" s="1"/>
  <c r="AH46" i="17" s="1"/>
  <c r="AF47" i="17"/>
  <c r="AH8" i="17"/>
  <c r="AG7" i="17"/>
  <c r="AG14" i="17"/>
  <c r="AG20" i="17" s="1"/>
  <c r="AG41" i="17" s="1"/>
  <c r="AE77" i="17"/>
  <c r="AF75" i="17"/>
  <c r="AF76" i="17" s="1"/>
  <c r="AF36" i="17"/>
  <c r="AF39" i="17" s="1"/>
  <c r="AF43" i="17" s="1"/>
  <c r="AF49" i="17" s="1"/>
  <c r="AG47" i="17" l="1"/>
  <c r="AF50" i="17"/>
  <c r="AH7" i="17"/>
  <c r="AH14" i="17"/>
  <c r="AH20" i="17" s="1"/>
  <c r="AF77" i="17"/>
  <c r="AG34" i="17"/>
  <c r="AG21" i="17"/>
  <c r="AH34" i="17" l="1"/>
  <c r="AH21" i="17"/>
  <c r="AG75" i="17"/>
  <c r="AG76" i="17"/>
  <c r="AG36" i="17"/>
  <c r="AG39" i="17" s="1"/>
  <c r="AG43" i="17" s="1"/>
  <c r="AH41" i="17"/>
  <c r="AG77" i="17" l="1"/>
  <c r="AH47" i="17"/>
  <c r="AG49" i="17"/>
  <c r="AH36" i="17"/>
  <c r="AH39" i="17" s="1"/>
  <c r="AH75" i="17"/>
  <c r="AH43" i="17" l="1"/>
  <c r="AG50" i="17"/>
  <c r="AH49" i="17"/>
  <c r="AH50" i="17" s="1"/>
  <c r="AH76" i="17"/>
  <c r="AH77" i="17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Burger, Kent</author>
  </authors>
  <commentList>
    <comment ref="L37" authorId="0" shapeId="0" xr:uid="{BFAE96F5-55E4-43DA-877B-8A8A2056F417}">
      <text>
        <r>
          <rPr>
            <b/>
            <sz val="9"/>
            <color indexed="81"/>
            <rFont val="Tahoma"/>
            <family val="2"/>
          </rPr>
          <t>Burger, Kent:</t>
        </r>
        <r>
          <rPr>
            <sz val="9"/>
            <color indexed="81"/>
            <rFont val="Tahoma"/>
            <family val="2"/>
          </rPr>
          <t xml:space="preserve">
Plug to balance to $0 principal advance budgeted on WC Loan; BS changes should actually be positive after large negative in 2017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Burger, Kent</author>
  </authors>
  <commentList>
    <comment ref="L37" authorId="0" shapeId="0" xr:uid="{E8C6156F-DE76-43D7-836F-39EF3068665B}">
      <text>
        <r>
          <rPr>
            <b/>
            <sz val="9"/>
            <color indexed="81"/>
            <rFont val="Tahoma"/>
            <family val="2"/>
          </rPr>
          <t>Burger, Kent:</t>
        </r>
        <r>
          <rPr>
            <sz val="9"/>
            <color indexed="81"/>
            <rFont val="Tahoma"/>
            <family val="2"/>
          </rPr>
          <t xml:space="preserve">
Plug to balance to $0 principal advance budgeted on WC Loan; BS changes should actually be positive after large negative in 2017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tc={7AB9C306-40F9-44BB-8AD9-E3EAB2AF1717}</author>
    <author>tc={0FB2C593-5436-4A96-8374-F841AEE6810E}</author>
    <author>Burger, Kent</author>
  </authors>
  <commentList>
    <comment ref="N5" authorId="0" shapeId="0" xr:uid="{7AB9C306-40F9-44BB-8AD9-E3EAB2AF1717}">
      <text>
        <t>[Threaded comment]
Your version of Excel allows you to read this threaded comment; however, any edits to it will get removed if the file is opened in a newer version of Excel. Learn more: https://go.microsoft.com/fwlink/?linkid=870924
Comment:
    This is higher, because our 2019 year end number is higher than the budget beginning number</t>
      </text>
    </comment>
    <comment ref="N25" authorId="1" shapeId="0" xr:uid="{0FB2C593-5436-4A96-8374-F841AEE6810E}">
      <text>
        <t>[Threaded comment]
Your version of Excel allows you to read this threaded comment; however, any edits to it will get removed if the file is opened in a newer version of Excel. Learn more: https://go.microsoft.com/fwlink/?linkid=870924
Comment:
    First year with revenue line</t>
      </text>
    </comment>
    <comment ref="L37" authorId="2" shapeId="0" xr:uid="{BE81A43E-6802-4DF3-9A1B-D52BD71F5BC6}">
      <text>
        <r>
          <rPr>
            <b/>
            <sz val="9"/>
            <color indexed="81"/>
            <rFont val="Tahoma"/>
            <family val="2"/>
          </rPr>
          <t>Burger, Kent:</t>
        </r>
        <r>
          <rPr>
            <sz val="9"/>
            <color indexed="81"/>
            <rFont val="Tahoma"/>
            <family val="2"/>
          </rPr>
          <t xml:space="preserve">
Plug to balance to $0 principal advance budgeted on WC Loan; BS changes should actually be positive after large negative in 2017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Dolence</author>
    <author>tc={5B77304D-28B1-4846-A8DA-8447C101E59F}</author>
    <author>tc={00A5A4B6-1F74-485D-98DB-242439546F26}</author>
    <author>tc={C8E8B7EB-A55D-4213-A458-203B5A94D5BC}</author>
    <author>Burger, Kent</author>
    <author>tc={2D81C866-1F38-4332-8FF2-6F86CBD8926C}</author>
    <author>tc={9E28942C-949D-474D-9069-777575FB61C8}</author>
  </authors>
  <commentList>
    <comment ref="P18" authorId="0" shapeId="0" xr:uid="{231CD179-3085-45DC-8942-86BF13BED882}">
      <text>
        <r>
          <rPr>
            <b/>
            <sz val="9"/>
            <color indexed="81"/>
            <rFont val="Tahoma"/>
            <family val="2"/>
          </rPr>
          <t>Dolence:</t>
        </r>
        <r>
          <rPr>
            <sz val="9"/>
            <color indexed="81"/>
            <rFont val="Tahoma"/>
            <family val="2"/>
          </rPr>
          <t xml:space="preserve">
Increased member dues $20/month</t>
        </r>
      </text>
    </comment>
    <comment ref="Q18" authorId="0" shapeId="0" xr:uid="{CB4F5CBB-96E5-4871-9D27-EA5EF9742B0E}">
      <text>
        <r>
          <rPr>
            <b/>
            <sz val="9"/>
            <color indexed="81"/>
            <rFont val="Tahoma"/>
            <family val="2"/>
          </rPr>
          <t>Dolence:</t>
        </r>
        <r>
          <rPr>
            <sz val="9"/>
            <color indexed="81"/>
            <rFont val="Tahoma"/>
            <family val="2"/>
          </rPr>
          <t xml:space="preserve">
Increased member dues $20/month and also showed 8 new members</t>
        </r>
      </text>
    </comment>
    <comment ref="N25" authorId="1" shapeId="0" xr:uid="{5B77304D-28B1-4846-A8DA-8447C101E59F}">
      <text>
        <t>[Threaded comment]
Your version of Excel allows you to read this threaded comment; however, any edits to it will get removed if the file is opened in a newer version of Excel. Learn more: https://go.microsoft.com/fwlink/?linkid=870924
Comment:
    First year with revenue line</t>
      </text>
    </comment>
    <comment ref="O28" authorId="2" shapeId="0" xr:uid="{00A5A4B6-1F74-485D-98DB-242439546F26}">
      <text>
        <t>[Threaded comment]
Your version of Excel allows you to read this threaded comment; however, any edits to it will get removed if the file is opened in a newer version of Excel. Learn more: https://go.microsoft.com/fwlink/?linkid=870924
Comment:
    Budget is $28K, but did not include Cunningham asset-tax bill 2020 $13.5K</t>
      </text>
    </comment>
    <comment ref="O36" authorId="3" shapeId="0" xr:uid="{C8E8B7EB-A55D-4213-A458-203B5A94D5BC}">
      <text>
        <t>[Threaded comment]
Your version of Excel allows you to read this threaded comment; however, any edits to it will get removed if the file is opened in a newer version of Excel. Learn more: https://go.microsoft.com/fwlink/?linkid=870924
Comment:
    Concrete repair in front of Clubhouse</t>
      </text>
    </comment>
    <comment ref="P36" authorId="0" shapeId="0" xr:uid="{6EBE3F98-64B4-4C3B-ADD5-6A08CABA24EB}">
      <text>
        <r>
          <rPr>
            <b/>
            <sz val="9"/>
            <color indexed="81"/>
            <rFont val="Tahoma"/>
            <family val="2"/>
          </rPr>
          <t>Dolence:</t>
        </r>
        <r>
          <rPr>
            <sz val="9"/>
            <color indexed="81"/>
            <rFont val="Tahoma"/>
            <family val="2"/>
          </rPr>
          <t xml:space="preserve">
Allocated 25% of EBITDA to capital or reserve needs</t>
        </r>
      </text>
    </comment>
    <comment ref="L37" authorId="4" shapeId="0" xr:uid="{A6797BE1-E26D-47F4-997D-2E7492C15394}">
      <text>
        <r>
          <rPr>
            <b/>
            <sz val="9"/>
            <color indexed="81"/>
            <rFont val="Tahoma"/>
            <family val="2"/>
          </rPr>
          <t>Burger, Kent:</t>
        </r>
        <r>
          <rPr>
            <sz val="9"/>
            <color indexed="81"/>
            <rFont val="Tahoma"/>
            <family val="2"/>
          </rPr>
          <t xml:space="preserve">
Plug to balance to $0 principal advance budgeted on WC Loan; BS changes should actually be positive after large negative in 2017</t>
        </r>
      </text>
    </comment>
    <comment ref="N37" authorId="4" shapeId="0" xr:uid="{8AF81C63-7062-4017-A283-EC4F9B9F7939}">
      <text>
        <r>
          <rPr>
            <b/>
            <sz val="9"/>
            <color indexed="81"/>
            <rFont val="Tahoma"/>
            <family val="2"/>
          </rPr>
          <t>Dolence:</t>
        </r>
        <r>
          <rPr>
            <sz val="9"/>
            <color indexed="81"/>
            <rFont val="Tahoma"/>
            <family val="2"/>
          </rPr>
          <t xml:space="preserve">
Plug to balance to EBITDA</t>
        </r>
      </text>
    </comment>
    <comment ref="O37" authorId="4" shapeId="0" xr:uid="{734D7F78-2F87-4CC8-945F-832825D2B924}">
      <text>
        <r>
          <rPr>
            <b/>
            <sz val="9"/>
            <color indexed="81"/>
            <rFont val="Tahoma"/>
            <family val="2"/>
          </rPr>
          <t>Dolence:</t>
        </r>
        <r>
          <rPr>
            <sz val="9"/>
            <color indexed="81"/>
            <rFont val="Tahoma"/>
            <family val="2"/>
          </rPr>
          <t xml:space="preserve">
Plug to balance to EBITDA</t>
        </r>
      </text>
    </comment>
    <comment ref="N39" authorId="5" shapeId="0" xr:uid="{2D81C866-1F38-4332-8FF2-6F86CBD8926C}">
      <text>
        <t>[Threaded comment]
Your version of Excel allows you to read this threaded comment; however, any edits to it will get removed if the file is opened in a newer version of Excel. Learn more: https://go.microsoft.com/fwlink/?linkid=870924
Comment:
    This is post PPP loan distribution</t>
      </text>
    </comment>
    <comment ref="N43" authorId="6" shapeId="0" xr:uid="{9E28942C-949D-474D-9069-777575FB61C8}">
      <text>
        <t>[Threaded comment]
Your version of Excel allows you to read this threaded comment; however, any edits to it will get removed if the file is opened in a newer version of Excel. Learn more: https://go.microsoft.com/fwlink/?linkid=870924
Comment:
    Plugged to Cash Flow change as PPP loan impacts not shown here.</t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Dolence</author>
    <author>tc={E7742CD8-10C4-4E99-9B29-D6C3BF570CFB}</author>
    <author>tc={58A25B35-40E7-4690-9BA9-F2EDF0AA91A7}</author>
    <author>Burger, Kent</author>
    <author>tc={A71E241A-B573-4178-92F6-21C015D757C4}</author>
    <author>tc={37BC91B5-945D-4267-9813-C72099A3CB3E}</author>
  </authors>
  <commentList>
    <comment ref="Q18" authorId="0" shapeId="0" xr:uid="{F5C1B253-CEF6-4DE8-8EFB-9664C0D27167}">
      <text>
        <r>
          <rPr>
            <b/>
            <sz val="9"/>
            <color indexed="81"/>
            <rFont val="Tahoma"/>
            <family val="2"/>
          </rPr>
          <t>Dolence:</t>
        </r>
        <r>
          <rPr>
            <sz val="9"/>
            <color indexed="81"/>
            <rFont val="Tahoma"/>
            <family val="2"/>
          </rPr>
          <t xml:space="preserve">
Increased member dues $20/month and also showed 8 new members</t>
        </r>
      </text>
    </comment>
    <comment ref="N26" authorId="1" shapeId="0" xr:uid="{E7742CD8-10C4-4E99-9B29-D6C3BF570CFB}">
      <text>
        <t>[Threaded comment]
Your version of Excel allows you to read this threaded comment; however, any edits to it will get removed if the file is opened in a newer version of Excel. Learn more: https://go.microsoft.com/fwlink/?linkid=870924
Comment:
    First year with revenue line</t>
      </text>
    </comment>
    <comment ref="O36" authorId="2" shapeId="0" xr:uid="{58A25B35-40E7-4690-9BA9-F2EDF0AA91A7}">
      <text>
        <t>[Threaded comment]
Your version of Excel allows you to read this threaded comment; however, any edits to it will get removed if the file is opened in a newer version of Excel. Learn more: https://go.microsoft.com/fwlink/?linkid=870924
Comment:
    1801-000 WIP construction acct 2021</t>
      </text>
    </comment>
    <comment ref="P36" authorId="0" shapeId="0" xr:uid="{0E10BF58-96AA-469C-A8CD-D2D02FE997D7}">
      <text>
        <r>
          <rPr>
            <b/>
            <sz val="9"/>
            <color indexed="81"/>
            <rFont val="Tahoma"/>
            <family val="2"/>
          </rPr>
          <t>Dolence:</t>
        </r>
        <r>
          <rPr>
            <sz val="9"/>
            <color indexed="81"/>
            <rFont val="Tahoma"/>
            <family val="2"/>
          </rPr>
          <t xml:space="preserve">
2022 Capital plan as outlined by R. Scott</t>
        </r>
      </text>
    </comment>
    <comment ref="L37" authorId="3" shapeId="0" xr:uid="{EF299E98-F682-47A4-B25E-06C6811C03CA}">
      <text>
        <r>
          <rPr>
            <b/>
            <sz val="9"/>
            <color indexed="81"/>
            <rFont val="Tahoma"/>
            <family val="2"/>
          </rPr>
          <t>Burger, Kent:</t>
        </r>
        <r>
          <rPr>
            <sz val="9"/>
            <color indexed="81"/>
            <rFont val="Tahoma"/>
            <family val="2"/>
          </rPr>
          <t xml:space="preserve">
Plug to balance to $0 principal advance budgeted on WC Loan; BS changes should actually be positive after large negative in 2017</t>
        </r>
      </text>
    </comment>
    <comment ref="N37" authorId="3" shapeId="0" xr:uid="{9E7BEE92-D50E-420E-B11E-37AB0892B1CD}">
      <text>
        <r>
          <rPr>
            <b/>
            <sz val="9"/>
            <color indexed="81"/>
            <rFont val="Tahoma"/>
            <family val="2"/>
          </rPr>
          <t>Dolence:</t>
        </r>
        <r>
          <rPr>
            <sz val="9"/>
            <color indexed="81"/>
            <rFont val="Tahoma"/>
            <family val="2"/>
          </rPr>
          <t xml:space="preserve">
Plug to balance to EBITDA</t>
        </r>
      </text>
    </comment>
    <comment ref="O37" authorId="3" shapeId="0" xr:uid="{2D817533-5A18-4F5E-96E1-1D2F8CDB73CF}">
      <text>
        <r>
          <rPr>
            <b/>
            <sz val="9"/>
            <color indexed="81"/>
            <rFont val="Tahoma"/>
            <family val="2"/>
          </rPr>
          <t>Dolence:</t>
        </r>
        <r>
          <rPr>
            <sz val="9"/>
            <color indexed="81"/>
            <rFont val="Tahoma"/>
            <family val="2"/>
          </rPr>
          <t xml:space="preserve">
Plug to balance to EBITDA</t>
        </r>
      </text>
    </comment>
    <comment ref="N39" authorId="4" shapeId="0" xr:uid="{A71E241A-B573-4178-92F6-21C015D757C4}">
      <text>
        <t>[Threaded comment]
Your version of Excel allows you to read this threaded comment; however, any edits to it will get removed if the file is opened in a newer version of Excel. Learn more: https://go.microsoft.com/fwlink/?linkid=870924
Comment:
    This is post PPP loan distribution</t>
      </text>
    </comment>
    <comment ref="N43" authorId="5" shapeId="0" xr:uid="{37BC91B5-945D-4267-9813-C72099A3CB3E}">
      <text>
        <t>[Threaded comment]
Your version of Excel allows you to read this threaded comment; however, any edits to it will get removed if the file is opened in a newer version of Excel. Learn more: https://go.microsoft.com/fwlink/?linkid=870924
Comment:
    Plugged to Cash Flow change as PPP loan impacts not shown here.</t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tc={A168C9E3-6A3F-45A6-90A5-5629F1DC7421}</author>
    <author>tc={8609790A-1FD4-4702-8AD7-E2A8F93B5C6B}</author>
    <author>tc={1D168A65-93D9-467D-A1C9-C04F7C4AC305}</author>
    <author>tc={5BEDA983-85BF-4E38-BB34-0344C9636C93}</author>
    <author>tc={80D8D612-9BB6-49A9-BED4-E2511C553A85}</author>
    <author>Dolence</author>
    <author>tc={F0363A82-AE0F-499A-8BD7-8F2D3B8F1AF9}</author>
    <author>Burger, Kent</author>
    <author>tc={1C0FAFC5-D828-451C-9247-53BD643F5281}</author>
    <author>tc={EDC59BA8-8CA0-4204-BEB7-0A0FC2A2C730}</author>
    <author>tc={B2C8141A-585B-41E7-AE2B-A5ABEF27981B}</author>
  </authors>
  <commentList>
    <comment ref="P9" authorId="0" shapeId="0" xr:uid="{A168C9E3-6A3F-45A6-90A5-5629F1DC7421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This line item is an estimate
</t>
      </text>
    </comment>
    <comment ref="Q9" authorId="1" shapeId="0" xr:uid="{8609790A-1FD4-4702-8AD7-E2A8F93B5C6B}">
      <text>
        <t>[Threaded comment]
Your version of Excel allows you to read this threaded comment; however, any edits to it will get removed if the file is opened in a newer version of Excel. Learn more: https://go.microsoft.com/fwlink/?linkid=870924
Comment:
    This line item is an estimate. Based on increase in expenses versus increase in revenue.</t>
      </text>
    </comment>
    <comment ref="P23" authorId="2" shapeId="0" xr:uid="{1D168A65-93D9-467D-A1C9-C04F7C4AC305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Plug to tie to EBITDA to board
</t>
      </text>
    </comment>
    <comment ref="N26" authorId="3" shapeId="0" xr:uid="{5BEDA983-85BF-4E38-BB34-0344C9636C93}">
      <text>
        <t>[Threaded comment]
Your version of Excel allows you to read this threaded comment; however, any edits to it will get removed if the file is opened in a newer version of Excel. Learn more: https://go.microsoft.com/fwlink/?linkid=870924
Comment:
    First year with revenue line</t>
      </text>
    </comment>
    <comment ref="O36" authorId="4" shapeId="0" xr:uid="{80D8D612-9BB6-49A9-BED4-E2511C553A85}">
      <text>
        <t>[Threaded comment]
Your version of Excel allows you to read this threaded comment; however, any edits to it will get removed if the file is opened in a newer version of Excel. Learn more: https://go.microsoft.com/fwlink/?linkid=870924
Comment:
    1801-000 WIP construction acct 2021</t>
      </text>
    </comment>
    <comment ref="P36" authorId="5" shapeId="0" xr:uid="{E14EDF31-5AAC-4C18-8F21-7426FB620625}">
      <text>
        <r>
          <rPr>
            <b/>
            <sz val="9"/>
            <color indexed="81"/>
            <rFont val="Tahoma"/>
            <family val="2"/>
          </rPr>
          <t>Dolence:</t>
        </r>
        <r>
          <rPr>
            <sz val="9"/>
            <color indexed="81"/>
            <rFont val="Tahoma"/>
            <family val="2"/>
          </rPr>
          <t xml:space="preserve">
2022 1801-000 detail file in December closing folder, second tab</t>
        </r>
      </text>
    </comment>
    <comment ref="Q36" authorId="6" shapeId="0" xr:uid="{F0363A82-AE0F-499A-8BD7-8F2D3B8F1AF9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Pool renovations $74,784
Patio addition $60,000
Tennis Court resurface $24,770
</t>
      </text>
    </comment>
    <comment ref="L37" authorId="7" shapeId="0" xr:uid="{D8609F07-7C4B-435B-8E8F-CD6270F2C976}">
      <text>
        <r>
          <rPr>
            <b/>
            <sz val="9"/>
            <color indexed="81"/>
            <rFont val="Tahoma"/>
            <family val="2"/>
          </rPr>
          <t>Burger, Kent:</t>
        </r>
        <r>
          <rPr>
            <sz val="9"/>
            <color indexed="81"/>
            <rFont val="Tahoma"/>
            <family val="2"/>
          </rPr>
          <t xml:space="preserve">
Plug to balance to $0 principal advance budgeted on WC Loan; BS changes should actually be positive after large negative in 2017</t>
        </r>
      </text>
    </comment>
    <comment ref="N37" authorId="7" shapeId="0" xr:uid="{936B3F59-2B1C-4E9A-9522-86A65A29720D}">
      <text>
        <r>
          <rPr>
            <b/>
            <sz val="9"/>
            <color indexed="81"/>
            <rFont val="Tahoma"/>
            <family val="2"/>
          </rPr>
          <t>Dolence:</t>
        </r>
        <r>
          <rPr>
            <sz val="9"/>
            <color indexed="81"/>
            <rFont val="Tahoma"/>
            <family val="2"/>
          </rPr>
          <t xml:space="preserve">
Plug to balance to EBITDA</t>
        </r>
      </text>
    </comment>
    <comment ref="O37" authorId="7" shapeId="0" xr:uid="{748AAFD4-F4E3-428F-839E-39B1CD6DD2A3}">
      <text>
        <r>
          <rPr>
            <b/>
            <sz val="9"/>
            <color indexed="81"/>
            <rFont val="Tahoma"/>
            <family val="2"/>
          </rPr>
          <t>Dolence:</t>
        </r>
        <r>
          <rPr>
            <sz val="9"/>
            <color indexed="81"/>
            <rFont val="Tahoma"/>
            <family val="2"/>
          </rPr>
          <t xml:space="preserve">
Plug to balance to EBITDA</t>
        </r>
      </text>
    </comment>
    <comment ref="P37" authorId="5" shapeId="0" xr:uid="{F5B261AF-D493-40A9-82A2-319A46CE0E95}">
      <text>
        <r>
          <rPr>
            <b/>
            <sz val="9"/>
            <color indexed="81"/>
            <rFont val="Tahoma"/>
            <family val="2"/>
          </rPr>
          <t>Dolence:</t>
        </r>
        <r>
          <rPr>
            <sz val="9"/>
            <color indexed="81"/>
            <rFont val="Tahoma"/>
            <family val="2"/>
          </rPr>
          <t xml:space="preserve">
plug to tie to cash balance</t>
        </r>
      </text>
    </comment>
    <comment ref="N39" authorId="8" shapeId="0" xr:uid="{1C0FAFC5-D828-451C-9247-53BD643F5281}">
      <text>
        <t>[Threaded comment]
Your version of Excel allows you to read this threaded comment; however, any edits to it will get removed if the file is opened in a newer version of Excel. Learn more: https://go.microsoft.com/fwlink/?linkid=870924
Comment:
    This is post PPP loan distribution</t>
      </text>
    </comment>
    <comment ref="N43" authorId="9" shapeId="0" xr:uid="{EDC59BA8-8CA0-4204-BEB7-0A0FC2A2C730}">
      <text>
        <t>[Threaded comment]
Your version of Excel allows you to read this threaded comment; however, any edits to it will get removed if the file is opened in a newer version of Excel. Learn more: https://go.microsoft.com/fwlink/?linkid=870924
Comment:
    Plugged to Cash Flow change as PPP loan impacts not shown here.</t>
      </text>
    </comment>
    <comment ref="AG46" authorId="10" shapeId="0" xr:uid="{B2C8141A-585B-41E7-AE2B-A5ABEF27981B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Formula change after operating loan paid
</t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Dolence</author>
    <author>tc={9EA6424E-47EC-4E15-8249-5ABF984DF1B2}</author>
    <author>tc={4388D8DA-C5C3-45E3-9472-6315149E6D95}</author>
    <author>tc={3AC3B2E4-F949-4AD2-985A-66611ED80BF2}</author>
    <author>tc={25078988-58AC-4734-9C53-A0AE3BCF36F1}</author>
    <author>tc={343A7658-7B9F-4AD1-9DDA-074448BBDDE2}</author>
    <author>tc={0C1857E3-C5B6-4C8A-92CD-24D96C22963F}</author>
    <author>tc={E6355F44-D041-4835-893C-D121ACA8954A}</author>
    <author>Burger, Kent</author>
    <author>tc={70745EF5-5E5E-4EC6-82CC-DCDCFD625131}</author>
    <author>tc={A1370C36-C6AD-4BDC-AC1B-8C6A2A936D3F}</author>
    <author>tc={16C86227-6839-412E-AE7F-FFD6E77FF244}</author>
  </authors>
  <commentList>
    <comment ref="R6" authorId="0" shapeId="0" xr:uid="{93E577D8-5311-4105-8112-739D1BCD8ADA}">
      <text>
        <r>
          <rPr>
            <b/>
            <sz val="9"/>
            <color indexed="81"/>
            <rFont val="Tahoma"/>
            <family val="2"/>
          </rPr>
          <t>Dolence:</t>
        </r>
        <r>
          <rPr>
            <sz val="9"/>
            <color indexed="81"/>
            <rFont val="Tahoma"/>
            <family val="2"/>
          </rPr>
          <t xml:space="preserve">
Lower due to threat of landfill north of community
</t>
        </r>
      </text>
    </comment>
    <comment ref="P9" authorId="1" shapeId="0" xr:uid="{9EA6424E-47EC-4E15-8249-5ABF984DF1B2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This line item is an estimate
</t>
      </text>
    </comment>
    <comment ref="Q9" authorId="2" shapeId="0" xr:uid="{4388D8DA-C5C3-45E3-9472-6315149E6D95}">
      <text>
        <t>[Threaded comment]
Your version of Excel allows you to read this threaded comment; however, any edits to it will get removed if the file is opened in a newer version of Excel. Learn more: https://go.microsoft.com/fwlink/?linkid=870924
Comment:
    This line item is an estimate. Based on increase in expenses versus increase in revenue.</t>
      </text>
    </comment>
    <comment ref="P23" authorId="3" shapeId="0" xr:uid="{3AC3B2E4-F949-4AD2-985A-66611ED80BF2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Plug to tie to EBITDA to board
</t>
      </text>
    </comment>
    <comment ref="Q23" authorId="4" shapeId="0" xr:uid="{25078988-58AC-4734-9C53-A0AE3BCF36F1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Plug to tie to EBITDA to board
</t>
      </text>
    </comment>
    <comment ref="N26" authorId="5" shapeId="0" xr:uid="{343A7658-7B9F-4AD1-9DDA-074448BBDDE2}">
      <text>
        <t>[Threaded comment]
Your version of Excel allows you to read this threaded comment; however, any edits to it will get removed if the file is opened in a newer version of Excel. Learn more: https://go.microsoft.com/fwlink/?linkid=870924
Comment:
    First year with revenue line</t>
      </text>
    </comment>
    <comment ref="O36" authorId="6" shapeId="0" xr:uid="{0C1857E3-C5B6-4C8A-92CD-24D96C22963F}">
      <text>
        <t>[Threaded comment]
Your version of Excel allows you to read this threaded comment; however, any edits to it will get removed if the file is opened in a newer version of Excel. Learn more: https://go.microsoft.com/fwlink/?linkid=870924
Comment:
    1801-000 WIP construction acct 2021</t>
      </text>
    </comment>
    <comment ref="P36" authorId="0" shapeId="0" xr:uid="{428A86C5-0226-4877-8979-81EE8A235B40}">
      <text>
        <r>
          <rPr>
            <b/>
            <sz val="9"/>
            <color indexed="81"/>
            <rFont val="Tahoma"/>
            <family val="2"/>
          </rPr>
          <t>Dolence:</t>
        </r>
        <r>
          <rPr>
            <sz val="9"/>
            <color indexed="81"/>
            <rFont val="Tahoma"/>
            <family val="2"/>
          </rPr>
          <t xml:space="preserve">
2022 1801-000 detail file in December closing folder, second tab</t>
        </r>
      </text>
    </comment>
    <comment ref="Q36" authorId="7" shapeId="0" xr:uid="{E6355F44-D041-4835-893C-D121ACA8954A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Pool renovations $74.8
Patio addition $53.2
Tennis Court resurface $25.3
Concrete Renovate-GolfCourse $60.0
Furniture - $16.7
North Fountain - $7.0
</t>
      </text>
    </comment>
    <comment ref="R36" authorId="0" shapeId="0" xr:uid="{673B29D8-604A-4913-A544-997B5AF78D79}">
      <text>
        <r>
          <rPr>
            <b/>
            <sz val="9"/>
            <color indexed="81"/>
            <rFont val="Tahoma"/>
            <charset val="1"/>
          </rPr>
          <t>Dolence:</t>
        </r>
        <r>
          <rPr>
            <sz val="9"/>
            <color indexed="81"/>
            <rFont val="Tahoma"/>
            <charset val="1"/>
          </rPr>
          <t xml:space="preserve">
See email to Neff on 2-13-24</t>
        </r>
      </text>
    </comment>
    <comment ref="L37" authorId="8" shapeId="0" xr:uid="{7CD4ADDA-2EDA-4675-BF69-A92CE07FC60A}">
      <text>
        <r>
          <rPr>
            <b/>
            <sz val="9"/>
            <color indexed="81"/>
            <rFont val="Tahoma"/>
            <family val="2"/>
          </rPr>
          <t>Burger, Kent:</t>
        </r>
        <r>
          <rPr>
            <sz val="9"/>
            <color indexed="81"/>
            <rFont val="Tahoma"/>
            <family val="2"/>
          </rPr>
          <t xml:space="preserve">
Plug to balance to $0 principal advance budgeted on WC Loan; BS changes should actually be positive after large negative in 2017</t>
        </r>
      </text>
    </comment>
    <comment ref="N37" authorId="8" shapeId="0" xr:uid="{0AA37760-D617-4675-B1FB-C3D0060119A1}">
      <text>
        <r>
          <rPr>
            <b/>
            <sz val="9"/>
            <color indexed="81"/>
            <rFont val="Tahoma"/>
            <family val="2"/>
          </rPr>
          <t>Dolence:</t>
        </r>
        <r>
          <rPr>
            <sz val="9"/>
            <color indexed="81"/>
            <rFont val="Tahoma"/>
            <family val="2"/>
          </rPr>
          <t xml:space="preserve">
Plug to balance to EBITDA</t>
        </r>
      </text>
    </comment>
    <comment ref="O37" authorId="8" shapeId="0" xr:uid="{D2344115-8726-4434-B430-52C614021DC3}">
      <text>
        <r>
          <rPr>
            <b/>
            <sz val="9"/>
            <color indexed="81"/>
            <rFont val="Tahoma"/>
            <family val="2"/>
          </rPr>
          <t>Dolence:</t>
        </r>
        <r>
          <rPr>
            <sz val="9"/>
            <color indexed="81"/>
            <rFont val="Tahoma"/>
            <family val="2"/>
          </rPr>
          <t xml:space="preserve">
Plug to balance to EBITDA</t>
        </r>
      </text>
    </comment>
    <comment ref="P37" authorId="0" shapeId="0" xr:uid="{DC75D90F-2BC1-4034-8300-16620D16E5B5}">
      <text>
        <r>
          <rPr>
            <b/>
            <sz val="9"/>
            <color indexed="81"/>
            <rFont val="Tahoma"/>
            <family val="2"/>
          </rPr>
          <t>Dolence:</t>
        </r>
        <r>
          <rPr>
            <sz val="9"/>
            <color indexed="81"/>
            <rFont val="Tahoma"/>
            <family val="2"/>
          </rPr>
          <t xml:space="preserve">
plug to tie to cash balance</t>
        </r>
      </text>
    </comment>
    <comment ref="Q37" authorId="0" shapeId="0" xr:uid="{CCBBA03C-29EF-469E-B9BC-3B2369C4FA58}">
      <text>
        <r>
          <rPr>
            <b/>
            <sz val="9"/>
            <color indexed="81"/>
            <rFont val="Tahoma"/>
            <family val="2"/>
          </rPr>
          <t>Dolence:</t>
        </r>
        <r>
          <rPr>
            <sz val="9"/>
            <color indexed="81"/>
            <rFont val="Tahoma"/>
            <family val="2"/>
          </rPr>
          <t xml:space="preserve">
plug to tie to cash balance</t>
        </r>
      </text>
    </comment>
    <comment ref="N39" authorId="9" shapeId="0" xr:uid="{70745EF5-5E5E-4EC6-82CC-DCDCFD625131}">
      <text>
        <t>[Threaded comment]
Your version of Excel allows you to read this threaded comment; however, any edits to it will get removed if the file is opened in a newer version of Excel. Learn more: https://go.microsoft.com/fwlink/?linkid=870924
Comment:
    This is post PPP loan distribution</t>
      </text>
    </comment>
    <comment ref="N43" authorId="10" shapeId="0" xr:uid="{A1370C36-C6AD-4BDC-AC1B-8C6A2A936D3F}">
      <text>
        <t>[Threaded comment]
Your version of Excel allows you to read this threaded comment; however, any edits to it will get removed if the file is opened in a newer version of Excel. Learn more: https://go.microsoft.com/fwlink/?linkid=870924
Comment:
    Plugged to Cash Flow change as PPP loan impacts not shown here.</t>
      </text>
    </comment>
    <comment ref="AG46" authorId="11" shapeId="0" xr:uid="{16C86227-6839-412E-AE7F-FFD6E77FF244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Formula change after operating loan paid
</t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tc={42BC883F-3F92-4A51-99F7-EB8630FC72A3}</author>
    <author>tc={A9088A27-46E0-4D92-9E22-53C8A55353C6}</author>
    <author>tc={0F5BEDF9-9DD5-464A-B1DC-12B9EFA102A7}</author>
    <author>tc={8ACEF712-3BA4-46DE-A089-7616155DA38B}</author>
    <author>tc={6E88DFCA-A2C6-4D7D-B5D8-B374996F4236}</author>
    <author>tc={7A85430E-2E6F-41BE-BD4E-EB63E4AC9051}</author>
    <author>Dolence</author>
    <author>tc={BECEB65F-B215-44EB-98E4-59B776917A58}</author>
    <author>Burger, Kent</author>
    <author>tc={102D8E29-88F9-430D-A8B1-9A8E76095356}</author>
    <author>tc={B6F1F412-36BB-4687-A938-5E1D24A0935D}</author>
    <author>tc={898CE87D-D874-454A-AD93-FA3FFFF0B332}</author>
    <author>tc={94B1500F-3663-4E65-9B53-B2EDB4D8D0A5}</author>
    <author>tc={F00ADB73-F32E-4BA0-ADD9-1513969A58D9}</author>
    <author>tc={A17042D8-FF08-4A34-A7E9-C325B103FE70}</author>
    <author>tc={32EC0080-754B-4A9E-802B-89099E0BB567}</author>
  </authors>
  <commentList>
    <comment ref="P9" authorId="0" shapeId="0" xr:uid="{42BC883F-3F92-4A51-99F7-EB8630FC72A3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This line item is an estimate
</t>
      </text>
    </comment>
    <comment ref="Q9" authorId="1" shapeId="0" xr:uid="{A9088A27-46E0-4D92-9E22-53C8A55353C6}">
      <text>
        <t>[Threaded comment]
Your version of Excel allows you to read this threaded comment; however, any edits to it will get removed if the file is opened in a newer version of Excel. Learn more: https://go.microsoft.com/fwlink/?linkid=870924
Comment:
    This line item is an estimate. Based on increase in expenses versus increase in revenue.</t>
      </text>
    </comment>
    <comment ref="P23" authorId="2" shapeId="0" xr:uid="{0F5BEDF9-9DD5-464A-B1DC-12B9EFA102A7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Plug to tie to EBITDA to board
</t>
      </text>
    </comment>
    <comment ref="Q23" authorId="3" shapeId="0" xr:uid="{8ACEF712-3BA4-46DE-A089-7616155DA38B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Plug to tie to EBITDA to board
</t>
      </text>
    </comment>
    <comment ref="N26" authorId="4" shapeId="0" xr:uid="{6E88DFCA-A2C6-4D7D-B5D8-B374996F4236}">
      <text>
        <t>[Threaded comment]
Your version of Excel allows you to read this threaded comment; however, any edits to it will get removed if the file is opened in a newer version of Excel. Learn more: https://go.microsoft.com/fwlink/?linkid=870924
Comment:
    First year with revenue line</t>
      </text>
    </comment>
    <comment ref="O36" authorId="5" shapeId="0" xr:uid="{7A85430E-2E6F-41BE-BD4E-EB63E4AC9051}">
      <text>
        <t>[Threaded comment]
Your version of Excel allows you to read this threaded comment; however, any edits to it will get removed if the file is opened in a newer version of Excel. Learn more: https://go.microsoft.com/fwlink/?linkid=870924
Comment:
    1801-000 WIP construction acct 2021</t>
      </text>
    </comment>
    <comment ref="P36" authorId="6" shapeId="0" xr:uid="{3C28F2FE-8029-4A2A-9EB1-7DA78A6A155C}">
      <text>
        <r>
          <rPr>
            <b/>
            <sz val="9"/>
            <color indexed="81"/>
            <rFont val="Tahoma"/>
            <family val="2"/>
          </rPr>
          <t>Dolence:</t>
        </r>
        <r>
          <rPr>
            <sz val="9"/>
            <color indexed="81"/>
            <rFont val="Tahoma"/>
            <family val="2"/>
          </rPr>
          <t xml:space="preserve">
2022 1801-000 detail file in December closing folder, second tab</t>
        </r>
      </text>
    </comment>
    <comment ref="Q36" authorId="7" shapeId="0" xr:uid="{BECEB65F-B215-44EB-98E4-59B776917A58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Pool renovations $74.8
Patio addition $53.2
Tennis Court resurface $25.3
Concrete Renovate-GolfCourse $60.0
Furniture - $16.7
North Fountain - $7.0
</t>
      </text>
    </comment>
    <comment ref="R36" authorId="6" shapeId="0" xr:uid="{EC30A792-08BF-4290-BF66-1C656E4F4AD5}">
      <text>
        <r>
          <rPr>
            <b/>
            <sz val="9"/>
            <color indexed="81"/>
            <rFont val="Tahoma"/>
            <charset val="1"/>
          </rPr>
          <t>Dolence:</t>
        </r>
        <r>
          <rPr>
            <sz val="9"/>
            <color indexed="81"/>
            <rFont val="Tahoma"/>
            <charset val="1"/>
          </rPr>
          <t xml:space="preserve">
See email to Neff on 2-13-24</t>
        </r>
      </text>
    </comment>
    <comment ref="L37" authorId="8" shapeId="0" xr:uid="{CFAE1C18-E40F-4AAE-B1A0-84043520BA56}">
      <text>
        <r>
          <rPr>
            <b/>
            <sz val="9"/>
            <color indexed="81"/>
            <rFont val="Tahoma"/>
            <family val="2"/>
          </rPr>
          <t>Burger, Kent:</t>
        </r>
        <r>
          <rPr>
            <sz val="9"/>
            <color indexed="81"/>
            <rFont val="Tahoma"/>
            <family val="2"/>
          </rPr>
          <t xml:space="preserve">
Plug to balance to $0 principal advance budgeted on WC Loan; BS changes should actually be positive after large negative in 2017</t>
        </r>
      </text>
    </comment>
    <comment ref="N37" authorId="8" shapeId="0" xr:uid="{9E917B7D-D4C5-4A69-B3A0-6930EAADBE56}">
      <text>
        <r>
          <rPr>
            <b/>
            <sz val="9"/>
            <color indexed="81"/>
            <rFont val="Tahoma"/>
            <family val="2"/>
          </rPr>
          <t>Dolence:</t>
        </r>
        <r>
          <rPr>
            <sz val="9"/>
            <color indexed="81"/>
            <rFont val="Tahoma"/>
            <family val="2"/>
          </rPr>
          <t xml:space="preserve">
Plug to balance to EBITDA</t>
        </r>
      </text>
    </comment>
    <comment ref="O37" authorId="8" shapeId="0" xr:uid="{38F2310A-E8C7-4D4F-9678-6D8AB4BE7199}">
      <text>
        <r>
          <rPr>
            <b/>
            <sz val="9"/>
            <color indexed="81"/>
            <rFont val="Tahoma"/>
            <family val="2"/>
          </rPr>
          <t>Dolence:</t>
        </r>
        <r>
          <rPr>
            <sz val="9"/>
            <color indexed="81"/>
            <rFont val="Tahoma"/>
            <family val="2"/>
          </rPr>
          <t xml:space="preserve">
Plug to balance to EBITDA</t>
        </r>
      </text>
    </comment>
    <comment ref="P37" authorId="6" shapeId="0" xr:uid="{E573137B-207D-47D3-AF22-339B37063DBE}">
      <text>
        <r>
          <rPr>
            <b/>
            <sz val="9"/>
            <color indexed="81"/>
            <rFont val="Tahoma"/>
            <family val="2"/>
          </rPr>
          <t>Dolence:</t>
        </r>
        <r>
          <rPr>
            <sz val="9"/>
            <color indexed="81"/>
            <rFont val="Tahoma"/>
            <family val="2"/>
          </rPr>
          <t xml:space="preserve">
plug to tie to cash balance</t>
        </r>
      </text>
    </comment>
    <comment ref="Q37" authorId="6" shapeId="0" xr:uid="{1B184E58-58B6-4D97-941D-4205FEC57451}">
      <text>
        <r>
          <rPr>
            <b/>
            <sz val="9"/>
            <color indexed="81"/>
            <rFont val="Tahoma"/>
            <family val="2"/>
          </rPr>
          <t>Dolence:</t>
        </r>
        <r>
          <rPr>
            <sz val="9"/>
            <color indexed="81"/>
            <rFont val="Tahoma"/>
            <family val="2"/>
          </rPr>
          <t xml:space="preserve">
plug to tie to cash balance</t>
        </r>
      </text>
    </comment>
    <comment ref="N39" authorId="9" shapeId="0" xr:uid="{102D8E29-88F9-430D-A8B1-9A8E76095356}">
      <text>
        <t>[Threaded comment]
Your version of Excel allows you to read this threaded comment; however, any edits to it will get removed if the file is opened in a newer version of Excel. Learn more: https://go.microsoft.com/fwlink/?linkid=870924
Comment:
    This is post PPP loan distribution</t>
      </text>
    </comment>
    <comment ref="N43" authorId="10" shapeId="0" xr:uid="{B6F1F412-36BB-4687-A938-5E1D24A0935D}">
      <text>
        <t>[Threaded comment]
Your version of Excel allows you to read this threaded comment; however, any edits to it will get removed if the file is opened in a newer version of Excel. Learn more: https://go.microsoft.com/fwlink/?linkid=870924
Comment:
    Plugged to Cash Flow change as PPP loan impacts not shown here.</t>
      </text>
    </comment>
    <comment ref="AG46" authorId="11" shapeId="0" xr:uid="{898CE87D-D874-454A-AD93-FA3FFFF0B332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Formula change after operating loan paid
</t>
      </text>
    </comment>
    <comment ref="AH46" authorId="12" shapeId="0" xr:uid="{94B1500F-3663-4E65-9B53-B2EDB4D8D0A5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Formula change after operating loan paid
</t>
      </text>
    </comment>
    <comment ref="AF47" authorId="13" shapeId="0" xr:uid="{F00ADB73-F32E-4BA0-ADD9-1513969A58D9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Formula change after operating loan paid
</t>
      </text>
    </comment>
    <comment ref="AG47" authorId="14" shapeId="0" xr:uid="{A17042D8-FF08-4A34-A7E9-C325B103FE70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Formula change after operating loan paid
</t>
      </text>
    </comment>
    <comment ref="AH47" authorId="15" shapeId="0" xr:uid="{32EC0080-754B-4A9E-802B-89099E0BB567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Formula change after operating loan paid
</t>
      </text>
    </comment>
  </commentList>
</comments>
</file>

<file path=xl/sharedStrings.xml><?xml version="1.0" encoding="utf-8"?>
<sst xmlns="http://schemas.openxmlformats.org/spreadsheetml/2006/main" count="718" uniqueCount="89">
  <si>
    <t># Members</t>
  </si>
  <si>
    <t># Home Sales</t>
  </si>
  <si>
    <t>General Assessments</t>
  </si>
  <si>
    <t xml:space="preserve">Annual Assessment </t>
  </si>
  <si>
    <t>Revenue and Cost inflation rate</t>
  </si>
  <si>
    <t>Rental Income (office)</t>
  </si>
  <si>
    <t>less Uncollectible Assessments</t>
  </si>
  <si>
    <t>Admin - G&amp;A</t>
  </si>
  <si>
    <t>Golf Course Maintenance</t>
  </si>
  <si>
    <t>Common Grounds Maintenance</t>
  </si>
  <si>
    <t>Food Service Operations, net</t>
  </si>
  <si>
    <t>Recreation, net</t>
  </si>
  <si>
    <t>Golf Operations, net revenue</t>
  </si>
  <si>
    <t>Property Taxes - General</t>
  </si>
  <si>
    <t>Property Taxes - Golf Course</t>
  </si>
  <si>
    <t>Cash Receipts</t>
  </si>
  <si>
    <t>Cash Disbursements</t>
  </si>
  <si>
    <t xml:space="preserve">   Total Disbursements ex interest exp.</t>
  </si>
  <si>
    <t>Interest Expense</t>
  </si>
  <si>
    <t xml:space="preserve">   Total Disbursements</t>
  </si>
  <si>
    <t>Total Excess (Shortfall)</t>
  </si>
  <si>
    <t xml:space="preserve">   Total Cash Receipts</t>
  </si>
  <si>
    <t>Creekmoor POA</t>
  </si>
  <si>
    <t>Capital Expenditures</t>
  </si>
  <si>
    <t>Annual Golf Revenue gain ($thousands)</t>
  </si>
  <si>
    <t>Loan Interest Rate</t>
  </si>
  <si>
    <t>Working Capital Loan Balance ($000)</t>
  </si>
  <si>
    <t>Infrastructure Loan Balance ($000)</t>
  </si>
  <si>
    <t>($ thousands)</t>
  </si>
  <si>
    <t>Financial Forecast - January 2010</t>
  </si>
  <si>
    <t>Golf Course - maint &amp; repair contingency</t>
  </si>
  <si>
    <t xml:space="preserve">Infrastructure Loan additions </t>
  </si>
  <si>
    <t>Annual Assessment increase</t>
  </si>
  <si>
    <t>2009 proj.</t>
  </si>
  <si>
    <t>Original Feasibility</t>
  </si>
  <si>
    <t>Financial Forecast - December 2010</t>
  </si>
  <si>
    <t>2010 est.</t>
  </si>
  <si>
    <t>2011 Plan</t>
  </si>
  <si>
    <t>Total Excess (Shortfall) ex Interest Exp.</t>
  </si>
  <si>
    <t>Other Income</t>
  </si>
  <si>
    <t>Admin - G&amp;A incl. Clubhouse</t>
  </si>
  <si>
    <t>Revenues</t>
  </si>
  <si>
    <t>Adj to Cash from Balance Sheet Chgs.</t>
  </si>
  <si>
    <t xml:space="preserve">   Total Net Revenues</t>
  </si>
  <si>
    <t>Expenses ex Interest &amp; Depreciation</t>
  </si>
  <si>
    <t xml:space="preserve">   Total Expenses ex interest exp.</t>
  </si>
  <si>
    <t xml:space="preserve">   Total Expenses ex depreciation</t>
  </si>
  <si>
    <t>Decrease (Increase) in Expenses - Audit</t>
  </si>
  <si>
    <t>Financial Forecast - December 2011</t>
  </si>
  <si>
    <t>2011 est.</t>
  </si>
  <si>
    <t># Members (end of year)</t>
  </si>
  <si>
    <t># Home Sales/Lot Sales</t>
  </si>
  <si>
    <t>Financial Forecast - December 2012</t>
  </si>
  <si>
    <t>% Annual Change</t>
  </si>
  <si>
    <t>Financial Forecast - December 2013</t>
  </si>
  <si>
    <t>Ending Cash Balances ($000)</t>
  </si>
  <si>
    <t>Net Change in Cash ($000)</t>
  </si>
  <si>
    <t>Budget</t>
  </si>
  <si>
    <t>Financial Forecast - December 2014</t>
  </si>
  <si>
    <t>Operating EBITDA</t>
  </si>
  <si>
    <t>Cash Flow ex Interest, Excess (Shortfall)</t>
  </si>
  <si>
    <t>Total Excess (Shortfall) incl. Interest</t>
  </si>
  <si>
    <t>Excess (Shortfall) - Non Golf Ops</t>
  </si>
  <si>
    <t>Excess (Shortfall) - Golf Ops</t>
  </si>
  <si>
    <t xml:space="preserve">  Total</t>
  </si>
  <si>
    <t>Loan Bal. Original Feasibility</t>
  </si>
  <si>
    <t>Prelim.</t>
  </si>
  <si>
    <t>Financial Forecast - December 2015</t>
  </si>
  <si>
    <t># Members Added</t>
  </si>
  <si>
    <t>Financial Forecast - December 2016</t>
  </si>
  <si>
    <t>Proj.</t>
  </si>
  <si>
    <t>Working Capital Loan additions</t>
  </si>
  <si>
    <t>Interest Expense (WC Loan)</t>
  </si>
  <si>
    <t>Financial Forecast - December 2017</t>
  </si>
  <si>
    <t>Financial Forecast - December 2018</t>
  </si>
  <si>
    <t>Admin - G&amp;A incl. Clubhouse &amp; Villas</t>
  </si>
  <si>
    <t>Financial Forecast - December 2019</t>
  </si>
  <si>
    <t>Financial Forecast - December 2020</t>
  </si>
  <si>
    <t>Loan / Interest Payments</t>
  </si>
  <si>
    <t>Actual</t>
  </si>
  <si>
    <t>Common Grounds Maintenance, net</t>
  </si>
  <si>
    <t xml:space="preserve">Actual </t>
  </si>
  <si>
    <t>Financial Forecast - December 2021 (FINAL)*</t>
  </si>
  <si>
    <t>* Unaudited</t>
  </si>
  <si>
    <t>Financial Forecast - December 2022 (FINAL)*</t>
  </si>
  <si>
    <t>Financial Forecast - December 2023*</t>
  </si>
  <si>
    <t xml:space="preserve">  Total EBITDA</t>
  </si>
  <si>
    <t xml:space="preserve">Golf Operations, net </t>
  </si>
  <si>
    <t>Financial Forecast - December 2025*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</si>
</sst>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.0_);_(* \(#,##0.0\);_(* &quot;-&quot;??_);_(@_)"/>
    <numFmt numFmtId="165" formatCode="_(* #,##0_);_(* \(#,##0\);_(* &quot;-&quot;??_);_(@_)"/>
    <numFmt numFmtId="166" formatCode="0.0%"/>
    <numFmt numFmtId="167" formatCode="_(&quot;$&quot;* #,##0_);_(&quot;$&quot;* \(#,##0\);_(&quot;$&quot;* &quot;-&quot;??_);_(@_)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334BD"/>
      <name val="Calibri"/>
      <family val="2"/>
      <scheme val="minor"/>
    </font>
    <font>
      <sz val="11"/>
      <name val="Calibri"/>
      <family val="2"/>
      <scheme val="minor"/>
    </font>
    <font>
      <sz val="11"/>
      <color rgb="FF010DFF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11"/>
      <color rgb="FF010DFF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9"/>
      <color rgb="FFFF0000"/>
      <name val="Calibri"/>
      <family val="2"/>
      <scheme val="minor"/>
    </font>
    <font>
      <b/>
      <u/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u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0066FF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8" tint="0.39997558519241921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216">
    <xf numFmtId="0" fontId="0" fillId="0" borderId="0" xfId="0"/>
    <xf numFmtId="0" fontId="0" fillId="0" borderId="0" xfId="0" quotePrefix="1"/>
    <xf numFmtId="0" fontId="3" fillId="0" borderId="0" xfId="0" applyFont="1"/>
    <xf numFmtId="0" fontId="5" fillId="0" borderId="0" xfId="0" applyFont="1"/>
    <xf numFmtId="165" fontId="0" fillId="0" borderId="0" xfId="1" applyNumberFormat="1" applyFont="1"/>
    <xf numFmtId="166" fontId="5" fillId="0" borderId="0" xfId="2" applyNumberFormat="1" applyFont="1"/>
    <xf numFmtId="0" fontId="2" fillId="0" borderId="0" xfId="0" applyFont="1"/>
    <xf numFmtId="0" fontId="6" fillId="0" borderId="0" xfId="0" applyFont="1"/>
    <xf numFmtId="37" fontId="5" fillId="0" borderId="0" xfId="0" applyNumberFormat="1" applyFont="1" applyAlignment="1">
      <alignment horizontal="right"/>
    </xf>
    <xf numFmtId="37" fontId="0" fillId="0" borderId="0" xfId="1" applyNumberFormat="1" applyFont="1" applyAlignment="1">
      <alignment horizontal="right"/>
    </xf>
    <xf numFmtId="37" fontId="0" fillId="0" borderId="0" xfId="0" applyNumberFormat="1"/>
    <xf numFmtId="38" fontId="0" fillId="0" borderId="0" xfId="0" applyNumberFormat="1"/>
    <xf numFmtId="37" fontId="2" fillId="0" borderId="0" xfId="0" applyNumberFormat="1" applyFont="1"/>
    <xf numFmtId="165" fontId="2" fillId="0" borderId="0" xfId="1" applyNumberFormat="1" applyFont="1"/>
    <xf numFmtId="0" fontId="6" fillId="0" borderId="0" xfId="0" applyFont="1" applyAlignment="1">
      <alignment horizontal="center"/>
    </xf>
    <xf numFmtId="37" fontId="5" fillId="0" borderId="0" xfId="1" applyNumberFormat="1" applyFont="1" applyAlignment="1">
      <alignment horizontal="right"/>
    </xf>
    <xf numFmtId="164" fontId="5" fillId="0" borderId="0" xfId="1" applyNumberFormat="1" applyFont="1"/>
    <xf numFmtId="166" fontId="4" fillId="0" borderId="0" xfId="2" applyNumberFormat="1" applyFont="1"/>
    <xf numFmtId="10" fontId="5" fillId="0" borderId="0" xfId="2" applyNumberFormat="1" applyFont="1"/>
    <xf numFmtId="0" fontId="7" fillId="0" borderId="0" xfId="0" applyFont="1"/>
    <xf numFmtId="0" fontId="8" fillId="0" borderId="0" xfId="0" applyFont="1"/>
    <xf numFmtId="0" fontId="0" fillId="2" borderId="0" xfId="0" applyFill="1"/>
    <xf numFmtId="165" fontId="5" fillId="2" borderId="0" xfId="1" applyNumberFormat="1" applyFont="1" applyFill="1"/>
    <xf numFmtId="38" fontId="0" fillId="2" borderId="0" xfId="0" applyNumberFormat="1" applyFill="1"/>
    <xf numFmtId="165" fontId="0" fillId="2" borderId="0" xfId="1" applyNumberFormat="1" applyFont="1" applyFill="1"/>
    <xf numFmtId="9" fontId="5" fillId="0" borderId="0" xfId="2" applyFont="1"/>
    <xf numFmtId="9" fontId="4" fillId="0" borderId="0" xfId="2" applyFont="1"/>
    <xf numFmtId="0" fontId="6" fillId="2" borderId="0" xfId="0" applyFont="1" applyFill="1" applyAlignment="1">
      <alignment horizontal="center"/>
    </xf>
    <xf numFmtId="0" fontId="5" fillId="2" borderId="0" xfId="0" applyFont="1" applyFill="1"/>
    <xf numFmtId="165" fontId="2" fillId="2" borderId="0" xfId="1" applyNumberFormat="1" applyFont="1" applyFill="1"/>
    <xf numFmtId="37" fontId="5" fillId="2" borderId="0" xfId="0" applyNumberFormat="1" applyFont="1" applyFill="1" applyAlignment="1">
      <alignment horizontal="right"/>
    </xf>
    <xf numFmtId="37" fontId="2" fillId="2" borderId="0" xfId="0" applyNumberFormat="1" applyFont="1" applyFill="1"/>
    <xf numFmtId="9" fontId="5" fillId="2" borderId="0" xfId="2" applyFont="1" applyFill="1"/>
    <xf numFmtId="9" fontId="5" fillId="0" borderId="0" xfId="2" applyFont="1" applyFill="1"/>
    <xf numFmtId="165" fontId="5" fillId="0" borderId="0" xfId="1" applyNumberFormat="1" applyFont="1" applyFill="1"/>
    <xf numFmtId="165" fontId="2" fillId="0" borderId="0" xfId="1" applyNumberFormat="1" applyFont="1" applyFill="1"/>
    <xf numFmtId="166" fontId="5" fillId="2" borderId="0" xfId="2" applyNumberFormat="1" applyFont="1" applyFill="1"/>
    <xf numFmtId="164" fontId="5" fillId="2" borderId="0" xfId="1" applyNumberFormat="1" applyFont="1" applyFill="1"/>
    <xf numFmtId="10" fontId="5" fillId="2" borderId="0" xfId="2" applyNumberFormat="1" applyFont="1" applyFill="1"/>
    <xf numFmtId="37" fontId="0" fillId="2" borderId="0" xfId="0" applyNumberFormat="1" applyFill="1"/>
    <xf numFmtId="37" fontId="0" fillId="2" borderId="0" xfId="1" applyNumberFormat="1" applyFont="1" applyFill="1" applyAlignment="1">
      <alignment horizontal="right"/>
    </xf>
    <xf numFmtId="37" fontId="5" fillId="2" borderId="0" xfId="1" applyNumberFormat="1" applyFont="1" applyFill="1" applyAlignment="1">
      <alignment horizontal="right"/>
    </xf>
    <xf numFmtId="0" fontId="9" fillId="0" borderId="0" xfId="0" applyFont="1"/>
    <xf numFmtId="165" fontId="0" fillId="0" borderId="0" xfId="1" applyNumberFormat="1" applyFont="1" applyFill="1"/>
    <xf numFmtId="166" fontId="5" fillId="0" borderId="0" xfId="2" applyNumberFormat="1" applyFont="1" applyFill="1"/>
    <xf numFmtId="164" fontId="5" fillId="0" borderId="0" xfId="1" applyNumberFormat="1" applyFont="1" applyFill="1"/>
    <xf numFmtId="10" fontId="5" fillId="0" borderId="0" xfId="2" applyNumberFormat="1" applyFont="1" applyFill="1"/>
    <xf numFmtId="166" fontId="4" fillId="2" borderId="0" xfId="2" applyNumberFormat="1" applyFont="1" applyFill="1"/>
    <xf numFmtId="0" fontId="3" fillId="2" borderId="0" xfId="0" applyFont="1" applyFill="1"/>
    <xf numFmtId="37" fontId="5" fillId="2" borderId="0" xfId="0" applyNumberFormat="1" applyFont="1" applyFill="1"/>
    <xf numFmtId="0" fontId="10" fillId="0" borderId="0" xfId="0" applyFont="1"/>
    <xf numFmtId="166" fontId="4" fillId="0" borderId="0" xfId="2" applyNumberFormat="1" applyFont="1" applyFill="1"/>
    <xf numFmtId="37" fontId="5" fillId="0" borderId="0" xfId="0" applyNumberFormat="1" applyFont="1"/>
    <xf numFmtId="9" fontId="4" fillId="2" borderId="0" xfId="2" applyFont="1" applyFill="1"/>
    <xf numFmtId="165" fontId="3" fillId="0" borderId="0" xfId="0" applyNumberFormat="1" applyFont="1"/>
    <xf numFmtId="9" fontId="11" fillId="0" borderId="0" xfId="2" applyFont="1" applyFill="1" applyAlignment="1">
      <alignment vertical="top"/>
    </xf>
    <xf numFmtId="0" fontId="11" fillId="0" borderId="0" xfId="0" quotePrefix="1" applyFont="1" applyAlignment="1">
      <alignment horizontal="center" vertical="top"/>
    </xf>
    <xf numFmtId="9" fontId="11" fillId="2" borderId="0" xfId="2" applyFont="1" applyFill="1" applyAlignment="1">
      <alignment vertical="top"/>
    </xf>
    <xf numFmtId="43" fontId="0" fillId="0" borderId="0" xfId="0" applyNumberFormat="1"/>
    <xf numFmtId="165" fontId="0" fillId="0" borderId="0" xfId="0" applyNumberFormat="1"/>
    <xf numFmtId="10" fontId="10" fillId="2" borderId="0" xfId="2" applyNumberFormat="1" applyFont="1" applyFill="1"/>
    <xf numFmtId="10" fontId="10" fillId="0" borderId="0" xfId="2" applyNumberFormat="1" applyFont="1"/>
    <xf numFmtId="10" fontId="10" fillId="0" borderId="0" xfId="2" applyNumberFormat="1" applyFont="1" applyFill="1"/>
    <xf numFmtId="37" fontId="5" fillId="0" borderId="0" xfId="1" applyNumberFormat="1" applyFont="1" applyFill="1" applyAlignment="1">
      <alignment horizontal="right"/>
    </xf>
    <xf numFmtId="0" fontId="6" fillId="3" borderId="0" xfId="0" applyFont="1" applyFill="1" applyAlignment="1">
      <alignment horizontal="center"/>
    </xf>
    <xf numFmtId="0" fontId="0" fillId="3" borderId="0" xfId="0" applyFill="1"/>
    <xf numFmtId="0" fontId="5" fillId="3" borderId="0" xfId="0" applyFont="1" applyFill="1"/>
    <xf numFmtId="9" fontId="4" fillId="3" borderId="0" xfId="2" applyFont="1" applyFill="1"/>
    <xf numFmtId="165" fontId="0" fillId="3" borderId="0" xfId="1" applyNumberFormat="1" applyFont="1" applyFill="1"/>
    <xf numFmtId="166" fontId="5" fillId="3" borderId="0" xfId="2" applyNumberFormat="1" applyFont="1" applyFill="1"/>
    <xf numFmtId="164" fontId="5" fillId="3" borderId="0" xfId="1" applyNumberFormat="1" applyFont="1" applyFill="1"/>
    <xf numFmtId="10" fontId="10" fillId="3" borderId="0" xfId="2" applyNumberFormat="1" applyFont="1" applyFill="1"/>
    <xf numFmtId="37" fontId="0" fillId="3" borderId="0" xfId="0" applyNumberFormat="1" applyFill="1"/>
    <xf numFmtId="37" fontId="5" fillId="3" borderId="0" xfId="0" applyNumberFormat="1" applyFont="1" applyFill="1" applyAlignment="1">
      <alignment horizontal="right"/>
    </xf>
    <xf numFmtId="165" fontId="2" fillId="3" borderId="0" xfId="1" applyNumberFormat="1" applyFont="1" applyFill="1"/>
    <xf numFmtId="9" fontId="11" fillId="3" borderId="0" xfId="2" applyFont="1" applyFill="1" applyAlignment="1">
      <alignment vertical="top"/>
    </xf>
    <xf numFmtId="37" fontId="5" fillId="3" borderId="0" xfId="1" applyNumberFormat="1" applyFont="1" applyFill="1" applyAlignment="1">
      <alignment horizontal="right"/>
    </xf>
    <xf numFmtId="37" fontId="2" fillId="3" borderId="0" xfId="0" applyNumberFormat="1" applyFont="1" applyFill="1"/>
    <xf numFmtId="38" fontId="0" fillId="3" borderId="0" xfId="0" applyNumberFormat="1" applyFill="1"/>
    <xf numFmtId="0" fontId="0" fillId="0" borderId="0" xfId="0" applyAlignment="1">
      <alignment horizontal="center"/>
    </xf>
    <xf numFmtId="165" fontId="0" fillId="3" borderId="0" xfId="0" applyNumberFormat="1" applyFill="1"/>
    <xf numFmtId="0" fontId="2" fillId="0" borderId="1" xfId="0" quotePrefix="1" applyFont="1" applyBorder="1" applyAlignment="1">
      <alignment horizontal="left" vertical="top"/>
    </xf>
    <xf numFmtId="0" fontId="0" fillId="0" borderId="1" xfId="0" applyBorder="1"/>
    <xf numFmtId="37" fontId="2" fillId="0" borderId="1" xfId="0" applyNumberFormat="1" applyFont="1" applyBorder="1"/>
    <xf numFmtId="37" fontId="2" fillId="3" borderId="1" xfId="0" applyNumberFormat="1" applyFont="1" applyFill="1" applyBorder="1"/>
    <xf numFmtId="37" fontId="2" fillId="2" borderId="1" xfId="0" applyNumberFormat="1" applyFont="1" applyFill="1" applyBorder="1"/>
    <xf numFmtId="37" fontId="12" fillId="0" borderId="0" xfId="0" applyNumberFormat="1" applyFont="1" applyAlignment="1">
      <alignment horizontal="right"/>
    </xf>
    <xf numFmtId="37" fontId="12" fillId="3" borderId="0" xfId="0" applyNumberFormat="1" applyFont="1" applyFill="1" applyAlignment="1">
      <alignment horizontal="right"/>
    </xf>
    <xf numFmtId="165" fontId="13" fillId="2" borderId="0" xfId="1" applyNumberFormat="1" applyFont="1" applyFill="1"/>
    <xf numFmtId="165" fontId="13" fillId="0" borderId="0" xfId="1" applyNumberFormat="1" applyFont="1"/>
    <xf numFmtId="37" fontId="13" fillId="0" borderId="0" xfId="0" applyNumberFormat="1" applyFont="1"/>
    <xf numFmtId="9" fontId="4" fillId="0" borderId="0" xfId="2" applyFont="1" applyFill="1"/>
    <xf numFmtId="37" fontId="0" fillId="3" borderId="0" xfId="1" applyNumberFormat="1" applyFont="1" applyFill="1" applyAlignment="1">
      <alignment horizontal="right"/>
    </xf>
    <xf numFmtId="165" fontId="13" fillId="3" borderId="0" xfId="1" applyNumberFormat="1" applyFont="1" applyFill="1"/>
    <xf numFmtId="37" fontId="5" fillId="2" borderId="0" xfId="1" applyNumberFormat="1" applyFont="1" applyFill="1" applyAlignment="1"/>
    <xf numFmtId="1" fontId="5" fillId="0" borderId="0" xfId="0" applyNumberFormat="1" applyFont="1" applyAlignment="1">
      <alignment horizontal="right"/>
    </xf>
    <xf numFmtId="43" fontId="0" fillId="3" borderId="0" xfId="0" applyNumberFormat="1" applyFill="1"/>
    <xf numFmtId="166" fontId="4" fillId="3" borderId="0" xfId="2" applyNumberFormat="1" applyFont="1" applyFill="1"/>
    <xf numFmtId="10" fontId="5" fillId="3" borderId="0" xfId="2" applyNumberFormat="1" applyFont="1" applyFill="1"/>
    <xf numFmtId="37" fontId="5" fillId="3" borderId="0" xfId="1" applyNumberFormat="1" applyFont="1" applyFill="1" applyAlignment="1"/>
    <xf numFmtId="37" fontId="0" fillId="0" borderId="0" xfId="1" applyNumberFormat="1" applyFont="1" applyFill="1" applyAlignment="1">
      <alignment horizontal="right"/>
    </xf>
    <xf numFmtId="165" fontId="4" fillId="0" borderId="0" xfId="1" applyNumberFormat="1" applyFont="1" applyFill="1"/>
    <xf numFmtId="165" fontId="3" fillId="0" borderId="0" xfId="1" applyNumberFormat="1" applyFont="1" applyFill="1"/>
    <xf numFmtId="8" fontId="14" fillId="0" borderId="0" xfId="0" applyNumberFormat="1" applyFont="1"/>
    <xf numFmtId="165" fontId="0" fillId="0" borderId="0" xfId="1" quotePrefix="1" applyNumberFormat="1" applyFont="1"/>
    <xf numFmtId="0" fontId="0" fillId="0" borderId="0" xfId="0" applyAlignment="1">
      <alignment horizontal="right"/>
    </xf>
    <xf numFmtId="9" fontId="5" fillId="0" borderId="0" xfId="2" applyFont="1" applyFill="1" applyAlignment="1">
      <alignment horizontal="right"/>
    </xf>
    <xf numFmtId="9" fontId="4" fillId="0" borderId="0" xfId="2" applyFont="1" applyFill="1" applyAlignment="1">
      <alignment horizontal="right"/>
    </xf>
    <xf numFmtId="9" fontId="4" fillId="3" borderId="0" xfId="2" applyFont="1" applyFill="1" applyAlignment="1">
      <alignment horizontal="right"/>
    </xf>
    <xf numFmtId="9" fontId="4" fillId="2" borderId="0" xfId="2" applyFont="1" applyFill="1" applyAlignment="1">
      <alignment horizontal="right"/>
    </xf>
    <xf numFmtId="9" fontId="4" fillId="0" borderId="0" xfId="2" applyFont="1" applyAlignment="1">
      <alignment horizontal="right"/>
    </xf>
    <xf numFmtId="165" fontId="11" fillId="0" borderId="0" xfId="0" applyNumberFormat="1" applyFont="1"/>
    <xf numFmtId="37" fontId="3" fillId="0" borderId="0" xfId="0" applyNumberFormat="1" applyFont="1"/>
    <xf numFmtId="38" fontId="3" fillId="0" borderId="0" xfId="0" applyNumberFormat="1" applyFont="1"/>
    <xf numFmtId="165" fontId="3" fillId="3" borderId="0" xfId="1" applyNumberFormat="1" applyFont="1" applyFill="1"/>
    <xf numFmtId="43" fontId="0" fillId="2" borderId="0" xfId="0" applyNumberFormat="1" applyFill="1"/>
    <xf numFmtId="37" fontId="5" fillId="0" borderId="0" xfId="1" applyNumberFormat="1" applyFont="1" applyFill="1" applyAlignment="1"/>
    <xf numFmtId="165" fontId="13" fillId="0" borderId="0" xfId="1" applyNumberFormat="1" applyFont="1" applyFill="1"/>
    <xf numFmtId="0" fontId="0" fillId="2" borderId="0" xfId="0" applyFill="1" applyAlignment="1">
      <alignment horizontal="center"/>
    </xf>
    <xf numFmtId="166" fontId="4" fillId="2" borderId="0" xfId="2" applyNumberFormat="1" applyFont="1" applyFill="1" applyAlignment="1">
      <alignment horizontal="right"/>
    </xf>
    <xf numFmtId="166" fontId="5" fillId="0" borderId="0" xfId="2" applyNumberFormat="1" applyFont="1" applyAlignment="1">
      <alignment horizontal="right"/>
    </xf>
    <xf numFmtId="167" fontId="5" fillId="0" borderId="0" xfId="3" applyNumberFormat="1" applyFont="1" applyFill="1"/>
    <xf numFmtId="167" fontId="0" fillId="0" borderId="0" xfId="3" applyNumberFormat="1" applyFont="1" applyFill="1"/>
    <xf numFmtId="167" fontId="0" fillId="3" borderId="0" xfId="3" applyNumberFormat="1" applyFont="1" applyFill="1"/>
    <xf numFmtId="167" fontId="0" fillId="2" borderId="0" xfId="3" applyNumberFormat="1" applyFont="1" applyFill="1"/>
    <xf numFmtId="166" fontId="5" fillId="2" borderId="0" xfId="2" applyNumberFormat="1" applyFont="1" applyFill="1" applyAlignment="1">
      <alignment horizontal="right"/>
    </xf>
    <xf numFmtId="166" fontId="4" fillId="3" borderId="0" xfId="2" applyNumberFormat="1" applyFont="1" applyFill="1" applyAlignment="1">
      <alignment horizontal="right"/>
    </xf>
    <xf numFmtId="37" fontId="10" fillId="0" borderId="0" xfId="1" applyNumberFormat="1" applyFont="1" applyAlignment="1">
      <alignment horizontal="right"/>
    </xf>
    <xf numFmtId="37" fontId="10" fillId="0" borderId="0" xfId="0" applyNumberFormat="1" applyFont="1"/>
    <xf numFmtId="166" fontId="4" fillId="0" borderId="0" xfId="2" applyNumberFormat="1" applyFont="1" applyAlignment="1">
      <alignment horizontal="right"/>
    </xf>
    <xf numFmtId="9" fontId="5" fillId="2" borderId="0" xfId="2" applyFont="1" applyFill="1" applyAlignment="1">
      <alignment horizontal="right"/>
    </xf>
    <xf numFmtId="165" fontId="5" fillId="3" borderId="0" xfId="0" applyNumberFormat="1" applyFont="1" applyFill="1"/>
    <xf numFmtId="165" fontId="5" fillId="2" borderId="0" xfId="0" applyNumberFormat="1" applyFont="1" applyFill="1"/>
    <xf numFmtId="165" fontId="11" fillId="3" borderId="0" xfId="1" applyNumberFormat="1" applyFont="1" applyFill="1" applyAlignment="1">
      <alignment vertical="top"/>
    </xf>
    <xf numFmtId="9" fontId="0" fillId="0" borderId="0" xfId="2" applyFont="1"/>
    <xf numFmtId="38" fontId="4" fillId="0" borderId="0" xfId="0" applyNumberFormat="1" applyFont="1"/>
    <xf numFmtId="0" fontId="0" fillId="2" borderId="0" xfId="0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165" fontId="5" fillId="0" borderId="0" xfId="0" applyNumberFormat="1" applyFont="1"/>
    <xf numFmtId="165" fontId="11" fillId="0" borderId="0" xfId="1" applyNumberFormat="1" applyFont="1" applyFill="1" applyAlignment="1">
      <alignment vertical="top"/>
    </xf>
    <xf numFmtId="165" fontId="1" fillId="2" borderId="0" xfId="1" applyNumberFormat="1" applyFont="1" applyFill="1"/>
    <xf numFmtId="165" fontId="10" fillId="3" borderId="0" xfId="1" applyNumberFormat="1" applyFont="1" applyFill="1"/>
    <xf numFmtId="9" fontId="17" fillId="3" borderId="0" xfId="2" applyFont="1" applyFill="1" applyAlignment="1">
      <alignment vertical="top"/>
    </xf>
    <xf numFmtId="0" fontId="10" fillId="3" borderId="0" xfId="0" applyFont="1" applyFill="1"/>
    <xf numFmtId="165" fontId="17" fillId="3" borderId="0" xfId="1" applyNumberFormat="1" applyFont="1" applyFill="1" applyAlignment="1">
      <alignment vertical="top"/>
    </xf>
    <xf numFmtId="0" fontId="0" fillId="3" borderId="0" xfId="0" applyFill="1" applyAlignment="1">
      <alignment horizontal="center" vertical="center" wrapText="1"/>
    </xf>
    <xf numFmtId="165" fontId="1" fillId="3" borderId="0" xfId="1" applyNumberFormat="1" applyFont="1" applyFill="1"/>
    <xf numFmtId="37" fontId="1" fillId="3" borderId="0" xfId="1" applyNumberFormat="1" applyFont="1" applyFill="1" applyAlignment="1">
      <alignment horizontal="right"/>
    </xf>
    <xf numFmtId="0" fontId="10" fillId="2" borderId="0" xfId="0" applyFont="1" applyFill="1"/>
    <xf numFmtId="164" fontId="10" fillId="2" borderId="0" xfId="1" applyNumberFormat="1" applyFont="1" applyFill="1"/>
    <xf numFmtId="9" fontId="17" fillId="2" borderId="0" xfId="2" applyFont="1" applyFill="1" applyAlignment="1">
      <alignment vertical="top"/>
    </xf>
    <xf numFmtId="165" fontId="10" fillId="0" borderId="0" xfId="1" applyNumberFormat="1" applyFont="1" applyFill="1"/>
    <xf numFmtId="165" fontId="10" fillId="0" borderId="0" xfId="1" applyNumberFormat="1" applyFont="1"/>
    <xf numFmtId="165" fontId="10" fillId="0" borderId="0" xfId="0" applyNumberFormat="1" applyFont="1"/>
    <xf numFmtId="165" fontId="17" fillId="0" borderId="0" xfId="0" applyNumberFormat="1" applyFont="1"/>
    <xf numFmtId="0" fontId="0" fillId="0" borderId="0" xfId="0" applyAlignment="1">
      <alignment horizontal="center" vertical="center" wrapText="1"/>
    </xf>
    <xf numFmtId="165" fontId="1" fillId="0" borderId="0" xfId="1" applyNumberFormat="1" applyFont="1" applyFill="1"/>
    <xf numFmtId="37" fontId="1" fillId="0" borderId="0" xfId="1" applyNumberFormat="1" applyFont="1" applyFill="1" applyAlignment="1">
      <alignment horizontal="right"/>
    </xf>
    <xf numFmtId="9" fontId="17" fillId="0" borderId="0" xfId="2" applyFont="1" applyFill="1" applyAlignment="1">
      <alignment vertical="top"/>
    </xf>
    <xf numFmtId="165" fontId="17" fillId="0" borderId="0" xfId="1" applyNumberFormat="1" applyFont="1" applyFill="1" applyAlignment="1">
      <alignment vertical="top"/>
    </xf>
    <xf numFmtId="0" fontId="4" fillId="3" borderId="0" xfId="0" applyFont="1" applyFill="1"/>
    <xf numFmtId="165" fontId="4" fillId="3" borderId="0" xfId="0" applyNumberFormat="1" applyFont="1" applyFill="1"/>
    <xf numFmtId="167" fontId="4" fillId="3" borderId="0" xfId="3" applyNumberFormat="1" applyFont="1" applyFill="1"/>
    <xf numFmtId="10" fontId="4" fillId="3" borderId="0" xfId="2" applyNumberFormat="1" applyFont="1" applyFill="1"/>
    <xf numFmtId="0" fontId="4" fillId="3" borderId="0" xfId="0" applyFont="1" applyFill="1" applyAlignment="1">
      <alignment horizontal="center" vertical="center" wrapText="1"/>
    </xf>
    <xf numFmtId="0" fontId="18" fillId="3" borderId="0" xfId="0" applyFont="1" applyFill="1" applyAlignment="1">
      <alignment horizontal="center"/>
    </xf>
    <xf numFmtId="164" fontId="4" fillId="3" borderId="0" xfId="1" applyNumberFormat="1" applyFont="1" applyFill="1"/>
    <xf numFmtId="165" fontId="4" fillId="3" borderId="0" xfId="1" applyNumberFormat="1" applyFont="1" applyFill="1"/>
    <xf numFmtId="37" fontId="4" fillId="3" borderId="0" xfId="0" applyNumberFormat="1" applyFont="1" applyFill="1"/>
    <xf numFmtId="37" fontId="4" fillId="3" borderId="0" xfId="1" applyNumberFormat="1" applyFont="1" applyFill="1" applyAlignment="1">
      <alignment horizontal="right"/>
    </xf>
    <xf numFmtId="165" fontId="19" fillId="3" borderId="0" xfId="1" applyNumberFormat="1" applyFont="1" applyFill="1"/>
    <xf numFmtId="9" fontId="20" fillId="3" borderId="0" xfId="2" applyFont="1" applyFill="1" applyAlignment="1">
      <alignment vertical="top"/>
    </xf>
    <xf numFmtId="37" fontId="19" fillId="3" borderId="0" xfId="0" applyNumberFormat="1" applyFont="1" applyFill="1"/>
    <xf numFmtId="37" fontId="19" fillId="3" borderId="1" xfId="0" applyNumberFormat="1" applyFont="1" applyFill="1" applyBorder="1"/>
    <xf numFmtId="165" fontId="21" fillId="3" borderId="0" xfId="1" applyNumberFormat="1" applyFont="1" applyFill="1"/>
    <xf numFmtId="38" fontId="4" fillId="3" borderId="0" xfId="0" applyNumberFormat="1" applyFont="1" applyFill="1"/>
    <xf numFmtId="0" fontId="18" fillId="0" borderId="0" xfId="0" applyFont="1" applyAlignment="1">
      <alignment horizontal="center"/>
    </xf>
    <xf numFmtId="37" fontId="4" fillId="0" borderId="0" xfId="0" applyNumberFormat="1" applyFont="1"/>
    <xf numFmtId="37" fontId="21" fillId="0" borderId="0" xfId="0" applyNumberFormat="1" applyFont="1"/>
    <xf numFmtId="0" fontId="4" fillId="2" borderId="0" xfId="0" applyFont="1" applyFill="1" applyAlignment="1">
      <alignment horizontal="center" vertical="center"/>
    </xf>
    <xf numFmtId="0" fontId="18" fillId="2" borderId="0" xfId="0" applyFont="1" applyFill="1" applyAlignment="1">
      <alignment horizontal="center"/>
    </xf>
    <xf numFmtId="165" fontId="4" fillId="2" borderId="0" xfId="1" applyNumberFormat="1" applyFont="1" applyFill="1"/>
    <xf numFmtId="165" fontId="4" fillId="2" borderId="0" xfId="0" applyNumberFormat="1" applyFont="1" applyFill="1"/>
    <xf numFmtId="10" fontId="1" fillId="2" borderId="0" xfId="2" applyNumberFormat="1" applyFont="1" applyFill="1"/>
    <xf numFmtId="37" fontId="1" fillId="2" borderId="0" xfId="1" applyNumberFormat="1" applyFont="1" applyFill="1" applyAlignment="1">
      <alignment horizontal="right"/>
    </xf>
    <xf numFmtId="0" fontId="4" fillId="2" borderId="0" xfId="0" applyFont="1" applyFill="1"/>
    <xf numFmtId="37" fontId="4" fillId="2" borderId="0" xfId="1" applyNumberFormat="1" applyFont="1" applyFill="1" applyAlignment="1">
      <alignment horizontal="right"/>
    </xf>
    <xf numFmtId="165" fontId="10" fillId="2" borderId="0" xfId="1" applyNumberFormat="1" applyFont="1" applyFill="1"/>
    <xf numFmtId="37" fontId="22" fillId="3" borderId="0" xfId="0" applyNumberFormat="1" applyFont="1" applyFill="1"/>
    <xf numFmtId="10" fontId="23" fillId="3" borderId="0" xfId="2" applyNumberFormat="1" applyFont="1" applyFill="1"/>
    <xf numFmtId="10" fontId="23" fillId="2" borderId="0" xfId="2" applyNumberFormat="1" applyFont="1" applyFill="1"/>
    <xf numFmtId="0" fontId="24" fillId="0" borderId="0" xfId="0" applyFont="1"/>
    <xf numFmtId="164" fontId="24" fillId="0" borderId="0" xfId="1" applyNumberFormat="1" applyFont="1" applyFill="1"/>
    <xf numFmtId="164" fontId="24" fillId="3" borderId="0" xfId="1" applyNumberFormat="1" applyFont="1" applyFill="1"/>
    <xf numFmtId="164" fontId="24" fillId="2" borderId="0" xfId="1" applyNumberFormat="1" applyFont="1" applyFill="1"/>
    <xf numFmtId="164" fontId="24" fillId="0" borderId="0" xfId="1" applyNumberFormat="1" applyFont="1"/>
    <xf numFmtId="9" fontId="20" fillId="2" borderId="0" xfId="2" applyFont="1" applyFill="1" applyAlignment="1">
      <alignment vertical="top"/>
    </xf>
    <xf numFmtId="38" fontId="4" fillId="2" borderId="0" xfId="0" applyNumberFormat="1" applyFont="1" applyFill="1"/>
    <xf numFmtId="37" fontId="4" fillId="2" borderId="0" xfId="0" applyNumberFormat="1" applyFont="1" applyFill="1"/>
    <xf numFmtId="165" fontId="19" fillId="2" borderId="0" xfId="1" applyNumberFormat="1" applyFont="1" applyFill="1"/>
    <xf numFmtId="37" fontId="19" fillId="2" borderId="0" xfId="0" applyNumberFormat="1" applyFont="1" applyFill="1"/>
    <xf numFmtId="37" fontId="19" fillId="2" borderId="1" xfId="0" applyNumberFormat="1" applyFont="1" applyFill="1" applyBorder="1"/>
    <xf numFmtId="165" fontId="21" fillId="2" borderId="0" xfId="1" applyNumberFormat="1" applyFont="1" applyFill="1"/>
    <xf numFmtId="0" fontId="4" fillId="0" borderId="0" xfId="0" applyFont="1" applyAlignment="1">
      <alignment horizontal="center" vertical="center" wrapText="1"/>
    </xf>
    <xf numFmtId="0" fontId="4" fillId="0" borderId="0" xfId="0" applyFont="1"/>
    <xf numFmtId="165" fontId="4" fillId="0" borderId="0" xfId="0" applyNumberFormat="1" applyFont="1"/>
    <xf numFmtId="167" fontId="4" fillId="0" borderId="0" xfId="3" applyNumberFormat="1" applyFont="1" applyFill="1"/>
    <xf numFmtId="10" fontId="23" fillId="0" borderId="0" xfId="2" applyNumberFormat="1" applyFont="1" applyFill="1"/>
    <xf numFmtId="37" fontId="4" fillId="0" borderId="0" xfId="1" applyNumberFormat="1" applyFont="1" applyFill="1" applyAlignment="1">
      <alignment horizontal="right"/>
    </xf>
    <xf numFmtId="165" fontId="19" fillId="0" borderId="0" xfId="1" applyNumberFormat="1" applyFont="1" applyFill="1"/>
    <xf numFmtId="9" fontId="20" fillId="0" borderId="0" xfId="2" applyFont="1" applyFill="1" applyAlignment="1">
      <alignment vertical="top"/>
    </xf>
    <xf numFmtId="37" fontId="19" fillId="0" borderId="0" xfId="0" applyNumberFormat="1" applyFont="1"/>
    <xf numFmtId="37" fontId="19" fillId="0" borderId="1" xfId="0" applyNumberFormat="1" applyFont="1" applyBorder="1"/>
    <xf numFmtId="165" fontId="21" fillId="0" borderId="0" xfId="1" applyNumberFormat="1" applyFont="1" applyFill="1"/>
    <xf numFmtId="4" fontId="0" fillId="0" borderId="0" xfId="0" applyNumberFormat="1"/>
  </cellXfs>
  <cellStyles count="4">
    <cellStyle name="Comma" xfId="1" builtinId="3"/>
    <cellStyle name="Currency" xfId="3" builtinId="4"/>
    <cellStyle name="Normal" xfId="0" builtinId="0"/>
    <cellStyle name="Percent" xfId="2" builtinId="5"/>
  </cellStyles>
  <dxfs count="0"/>
  <tableStyles count="0" defaultTableStyle="TableStyleMedium9" defaultPivotStyle="PivotStyleLight16"/>
  <colors>
    <mruColors>
      <color rgb="FF0066FF"/>
      <color rgb="FF010DFF"/>
      <color rgb="FF0334BD"/>
      <color rgb="FFB7F9F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microsoft.com/office/2017/10/relationships/person" Target="persons/perso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Creekmoor POA</a:t>
            </a:r>
          </a:p>
          <a:p>
            <a:pPr>
              <a:defRPr/>
            </a:pPr>
            <a:r>
              <a:rPr lang="en-US" sz="1400" baseline="0">
                <a:solidFill>
                  <a:srgbClr val="010DFF"/>
                </a:solidFill>
              </a:rPr>
              <a:t>Loan Balance Forecast</a:t>
            </a:r>
          </a:p>
        </c:rich>
      </c:tx>
      <c:layout>
        <c:manualLayout>
          <c:xMode val="edge"/>
          <c:yMode val="edge"/>
          <c:x val="0.39316786810099535"/>
          <c:y val="2.9568256561808337E-2"/>
        </c:manualLayout>
      </c:layout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Working Capital Loan</c:v>
          </c:tx>
          <c:marker>
            <c:symbol val="none"/>
          </c:marker>
          <c:cat>
            <c:strRef>
              <c:f>'2010 Budget'!$C$3:$X$3</c:f>
              <c:strCache>
                <c:ptCount val="22"/>
                <c:pt idx="0">
                  <c:v>2009 proj.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  <c:pt idx="15">
                  <c:v>2024</c:v>
                </c:pt>
                <c:pt idx="16">
                  <c:v>2025</c:v>
                </c:pt>
                <c:pt idx="17">
                  <c:v>2026</c:v>
                </c:pt>
                <c:pt idx="18">
                  <c:v>2027</c:v>
                </c:pt>
                <c:pt idx="19">
                  <c:v>2028</c:v>
                </c:pt>
                <c:pt idx="20">
                  <c:v>2029</c:v>
                </c:pt>
                <c:pt idx="21">
                  <c:v>2030</c:v>
                </c:pt>
              </c:strCache>
            </c:strRef>
          </c:cat>
          <c:val>
            <c:numRef>
              <c:f>'2010 Budget'!$C$39:$X$39</c:f>
              <c:numCache>
                <c:formatCode>#,##0_);[Red]\(#,##0\)</c:formatCode>
                <c:ptCount val="22"/>
                <c:pt idx="0" formatCode="_(* #,##0_);_(* \(#,##0\);_(* &quot;-&quot;??_);_(@_)">
                  <c:v>4735</c:v>
                </c:pt>
                <c:pt idx="1">
                  <c:v>5319</c:v>
                </c:pt>
                <c:pt idx="2">
                  <c:v>5915.3135762812499</c:v>
                </c:pt>
                <c:pt idx="3">
                  <c:v>6452.2139488990406</c:v>
                </c:pt>
                <c:pt idx="4">
                  <c:v>6933.3548660048791</c:v>
                </c:pt>
                <c:pt idx="5">
                  <c:v>7294.0181563824945</c:v>
                </c:pt>
                <c:pt idx="6">
                  <c:v>7518.7308732488646</c:v>
                </c:pt>
                <c:pt idx="7">
                  <c:v>7589.478219832301</c:v>
                </c:pt>
                <c:pt idx="8">
                  <c:v>7486.5556231094233</c:v>
                </c:pt>
                <c:pt idx="9">
                  <c:v>7188.4305094034262</c:v>
                </c:pt>
                <c:pt idx="10">
                  <c:v>6764.6522545950438</c:v>
                </c:pt>
                <c:pt idx="11">
                  <c:v>6204.5576696933476</c:v>
                </c:pt>
                <c:pt idx="12">
                  <c:v>5491.0168169316703</c:v>
                </c:pt>
                <c:pt idx="13">
                  <c:v>4605.2542114766966</c:v>
                </c:pt>
                <c:pt idx="14">
                  <c:v>3526.7107013099944</c:v>
                </c:pt>
                <c:pt idx="15">
                  <c:v>2239.9252548714644</c:v>
                </c:pt>
                <c:pt idx="16">
                  <c:v>728.82053252591095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F6F-4BBA-BDFE-A6CCE7AB3EEB}"/>
            </c:ext>
          </c:extLst>
        </c:ser>
        <c:ser>
          <c:idx val="1"/>
          <c:order val="1"/>
          <c:tx>
            <c:v>Infrastructure Loan</c:v>
          </c:tx>
          <c:marker>
            <c:symbol val="none"/>
          </c:marker>
          <c:cat>
            <c:strRef>
              <c:f>'2010 Budget'!$C$3:$X$3</c:f>
              <c:strCache>
                <c:ptCount val="22"/>
                <c:pt idx="0">
                  <c:v>2009 proj.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  <c:pt idx="15">
                  <c:v>2024</c:v>
                </c:pt>
                <c:pt idx="16">
                  <c:v>2025</c:v>
                </c:pt>
                <c:pt idx="17">
                  <c:v>2026</c:v>
                </c:pt>
                <c:pt idx="18">
                  <c:v>2027</c:v>
                </c:pt>
                <c:pt idx="19">
                  <c:v>2028</c:v>
                </c:pt>
                <c:pt idx="20">
                  <c:v>2029</c:v>
                </c:pt>
                <c:pt idx="21">
                  <c:v>2030</c:v>
                </c:pt>
              </c:strCache>
            </c:strRef>
          </c:cat>
          <c:val>
            <c:numRef>
              <c:f>'2010 Budget'!$C$40:$X$40</c:f>
              <c:numCache>
                <c:formatCode>_(* #,##0_);_(* \(#,##0\);_(* "-"??_);_(@_)</c:formatCode>
                <c:ptCount val="22"/>
                <c:pt idx="0">
                  <c:v>4722</c:v>
                </c:pt>
                <c:pt idx="1">
                  <c:v>4722</c:v>
                </c:pt>
                <c:pt idx="2">
                  <c:v>4722</c:v>
                </c:pt>
                <c:pt idx="3">
                  <c:v>4722</c:v>
                </c:pt>
                <c:pt idx="4">
                  <c:v>5322</c:v>
                </c:pt>
                <c:pt idx="5">
                  <c:v>6022</c:v>
                </c:pt>
                <c:pt idx="6">
                  <c:v>6722</c:v>
                </c:pt>
                <c:pt idx="7">
                  <c:v>7422</c:v>
                </c:pt>
                <c:pt idx="8">
                  <c:v>7500</c:v>
                </c:pt>
                <c:pt idx="9">
                  <c:v>7500</c:v>
                </c:pt>
                <c:pt idx="10">
                  <c:v>7500</c:v>
                </c:pt>
                <c:pt idx="11">
                  <c:v>7500</c:v>
                </c:pt>
                <c:pt idx="12">
                  <c:v>7500</c:v>
                </c:pt>
                <c:pt idx="13">
                  <c:v>7500</c:v>
                </c:pt>
                <c:pt idx="14">
                  <c:v>7500</c:v>
                </c:pt>
                <c:pt idx="15">
                  <c:v>7500</c:v>
                </c:pt>
                <c:pt idx="16">
                  <c:v>7500</c:v>
                </c:pt>
                <c:pt idx="17">
                  <c:v>6477.7752699966968</c:v>
                </c:pt>
                <c:pt idx="18">
                  <c:v>4577.709125200874</c:v>
                </c:pt>
                <c:pt idx="19">
                  <c:v>2538.8410184091185</c:v>
                </c:pt>
                <c:pt idx="20">
                  <c:v>378.17745099357808</c:v>
                </c:pt>
                <c:pt idx="2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F6F-4BBA-BDFE-A6CCE7AB3E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4309632"/>
        <c:axId val="54311168"/>
      </c:lineChart>
      <c:catAx>
        <c:axId val="54309632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crossAx val="54311168"/>
        <c:crosses val="autoZero"/>
        <c:auto val="1"/>
        <c:lblAlgn val="ctr"/>
        <c:lblOffset val="100"/>
        <c:tickLblSkip val="3"/>
        <c:tickMarkSkip val="1"/>
        <c:noMultiLvlLbl val="0"/>
      </c:catAx>
      <c:valAx>
        <c:axId val="5431116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$ thousands</a:t>
                </a:r>
              </a:p>
            </c:rich>
          </c:tx>
          <c:overlay val="0"/>
        </c:title>
        <c:numFmt formatCode="_(* #,##0_);_(* \(#,##0\);_(* &quot;-&quot;??_);_(@_)" sourceLinked="1"/>
        <c:majorTickMark val="out"/>
        <c:minorTickMark val="none"/>
        <c:tickLblPos val="nextTo"/>
        <c:crossAx val="54309632"/>
        <c:crosses val="autoZero"/>
        <c:crossBetween val="between"/>
      </c:valAx>
      <c:spPr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:spPr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0167" l="0.70000000000000062" r="0.70000000000000062" t="0.75000000000000167" header="0.30000000000000032" footer="0.30000000000000032"/>
    <c:pageSetup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Creekmoor POA</a:t>
            </a:r>
          </a:p>
          <a:p>
            <a:pPr>
              <a:defRPr/>
            </a:pPr>
            <a:r>
              <a:rPr lang="en-US" sz="1400" baseline="0">
                <a:solidFill>
                  <a:srgbClr val="010DFF"/>
                </a:solidFill>
              </a:rPr>
              <a:t>Loan Balance Forecast</a:t>
            </a:r>
          </a:p>
        </c:rich>
      </c:tx>
      <c:layout>
        <c:manualLayout>
          <c:xMode val="edge"/>
          <c:yMode val="edge"/>
          <c:x val="0.39316786810099547"/>
          <c:y val="2.9568256561808337E-2"/>
        </c:manualLayout>
      </c:layout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Working Capital Loan</c:v>
          </c:tx>
          <c:marker>
            <c:symbol val="none"/>
          </c:marker>
          <c:cat>
            <c:strRef>
              <c:f>'2011 Budget'!$C$3:$X$3</c:f>
              <c:strCache>
                <c:ptCount val="22"/>
                <c:pt idx="0">
                  <c:v>2009</c:v>
                </c:pt>
                <c:pt idx="1">
                  <c:v>2010 est.</c:v>
                </c:pt>
                <c:pt idx="2">
                  <c:v>2011 Plan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  <c:pt idx="15">
                  <c:v>2024</c:v>
                </c:pt>
                <c:pt idx="16">
                  <c:v>2025</c:v>
                </c:pt>
                <c:pt idx="17">
                  <c:v>2026</c:v>
                </c:pt>
                <c:pt idx="18">
                  <c:v>2027</c:v>
                </c:pt>
                <c:pt idx="19">
                  <c:v>2028</c:v>
                </c:pt>
                <c:pt idx="20">
                  <c:v>2029</c:v>
                </c:pt>
                <c:pt idx="21">
                  <c:v>2030</c:v>
                </c:pt>
              </c:strCache>
            </c:strRef>
          </c:cat>
          <c:val>
            <c:numRef>
              <c:f>'2011 Budget'!$C$42:$X$42</c:f>
              <c:numCache>
                <c:formatCode>#,##0_);[Red]\(#,##0\)</c:formatCode>
                <c:ptCount val="22"/>
                <c:pt idx="0" formatCode="_(* #,##0_);_(* \(#,##0\);_(* &quot;-&quot;??_);_(@_)">
                  <c:v>4735</c:v>
                </c:pt>
                <c:pt idx="1">
                  <c:v>5318</c:v>
                </c:pt>
                <c:pt idx="2">
                  <c:v>5873.8249999999998</c:v>
                </c:pt>
                <c:pt idx="3">
                  <c:v>6388.3101600624996</c:v>
                </c:pt>
                <c:pt idx="4">
                  <c:v>6826.6341377661875</c:v>
                </c:pt>
                <c:pt idx="5">
                  <c:v>7207.0416722107466</c:v>
                </c:pt>
                <c:pt idx="6">
                  <c:v>7453.3611726675026</c:v>
                </c:pt>
                <c:pt idx="7">
                  <c:v>7547.7001043673463</c:v>
                </c:pt>
                <c:pt idx="8">
                  <c:v>7470.4831236966074</c:v>
                </c:pt>
                <c:pt idx="9">
                  <c:v>7200.3142179452298</c:v>
                </c:pt>
                <c:pt idx="10">
                  <c:v>6806.8870373464379</c:v>
                </c:pt>
                <c:pt idx="11">
                  <c:v>6279.690780942572</c:v>
                </c:pt>
                <c:pt idx="12">
                  <c:v>5601.756432260574</c:v>
                </c:pt>
                <c:pt idx="13">
                  <c:v>4754.4784007347553</c:v>
                </c:pt>
                <c:pt idx="14">
                  <c:v>3717.4768623181203</c:v>
                </c:pt>
                <c:pt idx="15">
                  <c:v>2475.4800297867873</c:v>
                </c:pt>
                <c:pt idx="16">
                  <c:v>1012.6102297478687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71-4F02-9AF8-6FE1442E8F51}"/>
            </c:ext>
          </c:extLst>
        </c:ser>
        <c:ser>
          <c:idx val="1"/>
          <c:order val="1"/>
          <c:tx>
            <c:v>Infrastructure Loan</c:v>
          </c:tx>
          <c:marker>
            <c:symbol val="none"/>
          </c:marker>
          <c:cat>
            <c:strRef>
              <c:f>'2011 Budget'!$C$3:$X$3</c:f>
              <c:strCache>
                <c:ptCount val="22"/>
                <c:pt idx="0">
                  <c:v>2009</c:v>
                </c:pt>
                <c:pt idx="1">
                  <c:v>2010 est.</c:v>
                </c:pt>
                <c:pt idx="2">
                  <c:v>2011 Plan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  <c:pt idx="15">
                  <c:v>2024</c:v>
                </c:pt>
                <c:pt idx="16">
                  <c:v>2025</c:v>
                </c:pt>
                <c:pt idx="17">
                  <c:v>2026</c:v>
                </c:pt>
                <c:pt idx="18">
                  <c:v>2027</c:v>
                </c:pt>
                <c:pt idx="19">
                  <c:v>2028</c:v>
                </c:pt>
                <c:pt idx="20">
                  <c:v>2029</c:v>
                </c:pt>
                <c:pt idx="21">
                  <c:v>2030</c:v>
                </c:pt>
              </c:strCache>
            </c:strRef>
          </c:cat>
          <c:val>
            <c:numRef>
              <c:f>'2011 Budget'!$C$43:$X$43</c:f>
              <c:numCache>
                <c:formatCode>_(* #,##0_);_(* \(#,##0\);_(* "-"??_);_(@_)</c:formatCode>
                <c:ptCount val="22"/>
                <c:pt idx="0">
                  <c:v>4722</c:v>
                </c:pt>
                <c:pt idx="1">
                  <c:v>4731</c:v>
                </c:pt>
                <c:pt idx="2">
                  <c:v>4838</c:v>
                </c:pt>
                <c:pt idx="3">
                  <c:v>4838</c:v>
                </c:pt>
                <c:pt idx="4">
                  <c:v>5438</c:v>
                </c:pt>
                <c:pt idx="5">
                  <c:v>6138</c:v>
                </c:pt>
                <c:pt idx="6">
                  <c:v>6838</c:v>
                </c:pt>
                <c:pt idx="7">
                  <c:v>7509</c:v>
                </c:pt>
                <c:pt idx="8">
                  <c:v>7509</c:v>
                </c:pt>
                <c:pt idx="9">
                  <c:v>7509</c:v>
                </c:pt>
                <c:pt idx="10">
                  <c:v>7509</c:v>
                </c:pt>
                <c:pt idx="11">
                  <c:v>7509</c:v>
                </c:pt>
                <c:pt idx="12">
                  <c:v>7509</c:v>
                </c:pt>
                <c:pt idx="13">
                  <c:v>7509</c:v>
                </c:pt>
                <c:pt idx="14">
                  <c:v>7509</c:v>
                </c:pt>
                <c:pt idx="15">
                  <c:v>7509</c:v>
                </c:pt>
                <c:pt idx="16">
                  <c:v>7509</c:v>
                </c:pt>
                <c:pt idx="17">
                  <c:v>6813.6546895543579</c:v>
                </c:pt>
                <c:pt idx="18">
                  <c:v>4948.1807822725787</c:v>
                </c:pt>
                <c:pt idx="19">
                  <c:v>2944.6495773165725</c:v>
                </c:pt>
                <c:pt idx="20">
                  <c:v>820.06767954542966</c:v>
                </c:pt>
                <c:pt idx="2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371-4F02-9AF8-6FE1442E8F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2744192"/>
        <c:axId val="52745728"/>
      </c:lineChart>
      <c:catAx>
        <c:axId val="52744192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crossAx val="52745728"/>
        <c:crosses val="autoZero"/>
        <c:auto val="1"/>
        <c:lblAlgn val="ctr"/>
        <c:lblOffset val="100"/>
        <c:tickLblSkip val="3"/>
        <c:tickMarkSkip val="1"/>
        <c:noMultiLvlLbl val="0"/>
      </c:catAx>
      <c:valAx>
        <c:axId val="5274572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$ thousands</a:t>
                </a:r>
              </a:p>
            </c:rich>
          </c:tx>
          <c:overlay val="0"/>
        </c:title>
        <c:numFmt formatCode="_(* #,##0_);_(* \(#,##0\);_(* &quot;-&quot;??_);_(@_)" sourceLinked="1"/>
        <c:majorTickMark val="out"/>
        <c:minorTickMark val="none"/>
        <c:tickLblPos val="nextTo"/>
        <c:crossAx val="52744192"/>
        <c:crosses val="autoZero"/>
        <c:crossBetween val="between"/>
      </c:valAx>
      <c:spPr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:spPr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0189" l="0.70000000000000062" r="0.70000000000000062" t="0.75000000000000189" header="0.30000000000000032" footer="0.30000000000000032"/>
    <c:pageSetup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Creekmoor POA</a:t>
            </a:r>
          </a:p>
          <a:p>
            <a:pPr>
              <a:defRPr/>
            </a:pPr>
            <a:r>
              <a:rPr lang="en-US" sz="1400" baseline="0">
                <a:solidFill>
                  <a:srgbClr val="010DFF"/>
                </a:solidFill>
              </a:rPr>
              <a:t>Loan Balance Forecast</a:t>
            </a:r>
          </a:p>
        </c:rich>
      </c:tx>
      <c:layout>
        <c:manualLayout>
          <c:xMode val="edge"/>
          <c:yMode val="edge"/>
          <c:x val="0.39316786810099558"/>
          <c:y val="2.9568256561808337E-2"/>
        </c:manualLayout>
      </c:layout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Working Capital Loan</c:v>
          </c:tx>
          <c:marker>
            <c:symbol val="none"/>
          </c:marker>
          <c:cat>
            <c:strRef>
              <c:f>'2012 Budget'!$C$3:$X$3</c:f>
              <c:strCache>
                <c:ptCount val="22"/>
                <c:pt idx="0">
                  <c:v>2009</c:v>
                </c:pt>
                <c:pt idx="1">
                  <c:v>2010</c:v>
                </c:pt>
                <c:pt idx="2">
                  <c:v>2011 est.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  <c:pt idx="15">
                  <c:v>2024</c:v>
                </c:pt>
                <c:pt idx="16">
                  <c:v>2025</c:v>
                </c:pt>
                <c:pt idx="17">
                  <c:v>2026</c:v>
                </c:pt>
                <c:pt idx="18">
                  <c:v>2027</c:v>
                </c:pt>
                <c:pt idx="19">
                  <c:v>2028</c:v>
                </c:pt>
                <c:pt idx="20">
                  <c:v>2029</c:v>
                </c:pt>
                <c:pt idx="21">
                  <c:v>2030</c:v>
                </c:pt>
              </c:strCache>
            </c:strRef>
          </c:cat>
          <c:val>
            <c:numRef>
              <c:f>'2012 Budget'!$C$42:$X$42</c:f>
              <c:numCache>
                <c:formatCode>_(* #,##0_);_(* \(#,##0\);_(* "-"??_);_(@_)</c:formatCode>
                <c:ptCount val="22"/>
                <c:pt idx="0">
                  <c:v>4735</c:v>
                </c:pt>
                <c:pt idx="1">
                  <c:v>5318</c:v>
                </c:pt>
                <c:pt idx="2">
                  <c:v>5835</c:v>
                </c:pt>
                <c:pt idx="3" formatCode="#,##0_);[Red]\(#,##0\)">
                  <c:v>6314.875</c:v>
                </c:pt>
                <c:pt idx="4" formatCode="#,##0_);[Red]\(#,##0\)">
                  <c:v>6776.9426221076556</c:v>
                </c:pt>
                <c:pt idx="5" formatCode="#,##0_);[Red]\(#,##0\)">
                  <c:v>7178.4547796936376</c:v>
                </c:pt>
                <c:pt idx="6" formatCode="#,##0_);[Red]\(#,##0\)">
                  <c:v>7486.724034290366</c:v>
                </c:pt>
                <c:pt idx="7" formatCode="#,##0_);[Red]\(#,##0\)">
                  <c:v>7648.0843239182723</c:v>
                </c:pt>
                <c:pt idx="8" formatCode="#,##0_);[Red]\(#,##0\)">
                  <c:v>7643.3129298881304</c:v>
                </c:pt>
                <c:pt idx="9" formatCode="#,##0_);[Red]\(#,##0\)">
                  <c:v>7451.3893334950371</c:v>
                </c:pt>
                <c:pt idx="10" formatCode="#,##0_);[Red]\(#,##0\)">
                  <c:v>7142.4069796769745</c:v>
                </c:pt>
                <c:pt idx="11" formatCode="#,##0_);[Red]\(#,##0\)">
                  <c:v>6706.2806823767387</c:v>
                </c:pt>
                <c:pt idx="12" formatCode="#,##0_);[Red]\(#,##0\)">
                  <c:v>6126.4944729231047</c:v>
                </c:pt>
                <c:pt idx="13" formatCode="#,##0_);[Red]\(#,##0\)">
                  <c:v>5384.9249530226189</c:v>
                </c:pt>
                <c:pt idx="14" formatCode="#,##0_);[Red]\(#,##0\)">
                  <c:v>4461.7054517975375</c:v>
                </c:pt>
                <c:pt idx="15" formatCode="#,##0_);[Red]\(#,##0\)">
                  <c:v>3342.1102237298328</c:v>
                </c:pt>
                <c:pt idx="16" formatCode="#,##0_);[Red]\(#,##0\)">
                  <c:v>2010.8425712595804</c:v>
                </c:pt>
                <c:pt idx="17" formatCode="#,##0_);[Red]\(#,##0\)">
                  <c:v>444.30780238489797</c:v>
                </c:pt>
                <c:pt idx="18" formatCode="#,##0_);[Red]\(#,##0\)">
                  <c:v>0</c:v>
                </c:pt>
                <c:pt idx="19" formatCode="#,##0_);[Red]\(#,##0\)">
                  <c:v>0</c:v>
                </c:pt>
                <c:pt idx="20" formatCode="#,##0_);[Red]\(#,##0\)">
                  <c:v>0</c:v>
                </c:pt>
                <c:pt idx="21" formatCode="#,##0_);[Red]\(#,##0\)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2D-45BF-870B-66B98DFC2F3A}"/>
            </c:ext>
          </c:extLst>
        </c:ser>
        <c:ser>
          <c:idx val="1"/>
          <c:order val="1"/>
          <c:tx>
            <c:v>Infrastructure Loan</c:v>
          </c:tx>
          <c:marker>
            <c:symbol val="none"/>
          </c:marker>
          <c:cat>
            <c:strRef>
              <c:f>'2012 Budget'!$C$3:$X$3</c:f>
              <c:strCache>
                <c:ptCount val="22"/>
                <c:pt idx="0">
                  <c:v>2009</c:v>
                </c:pt>
                <c:pt idx="1">
                  <c:v>2010</c:v>
                </c:pt>
                <c:pt idx="2">
                  <c:v>2011 est.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  <c:pt idx="15">
                  <c:v>2024</c:v>
                </c:pt>
                <c:pt idx="16">
                  <c:v>2025</c:v>
                </c:pt>
                <c:pt idx="17">
                  <c:v>2026</c:v>
                </c:pt>
                <c:pt idx="18">
                  <c:v>2027</c:v>
                </c:pt>
                <c:pt idx="19">
                  <c:v>2028</c:v>
                </c:pt>
                <c:pt idx="20">
                  <c:v>2029</c:v>
                </c:pt>
                <c:pt idx="21">
                  <c:v>2030</c:v>
                </c:pt>
              </c:strCache>
            </c:strRef>
          </c:cat>
          <c:val>
            <c:numRef>
              <c:f>'2012 Budget'!$C$43:$X$43</c:f>
              <c:numCache>
                <c:formatCode>_(* #,##0_);_(* \(#,##0\);_(* "-"??_);_(@_)</c:formatCode>
                <c:ptCount val="22"/>
                <c:pt idx="0">
                  <c:v>4731</c:v>
                </c:pt>
                <c:pt idx="1">
                  <c:v>4752</c:v>
                </c:pt>
                <c:pt idx="2">
                  <c:v>4776</c:v>
                </c:pt>
                <c:pt idx="3">
                  <c:v>4883</c:v>
                </c:pt>
                <c:pt idx="4">
                  <c:v>5383</c:v>
                </c:pt>
                <c:pt idx="5">
                  <c:v>5983</c:v>
                </c:pt>
                <c:pt idx="6">
                  <c:v>6683</c:v>
                </c:pt>
                <c:pt idx="7">
                  <c:v>7383</c:v>
                </c:pt>
                <c:pt idx="8">
                  <c:v>7545</c:v>
                </c:pt>
                <c:pt idx="9">
                  <c:v>7545</c:v>
                </c:pt>
                <c:pt idx="10">
                  <c:v>7545</c:v>
                </c:pt>
                <c:pt idx="11">
                  <c:v>7545</c:v>
                </c:pt>
                <c:pt idx="12">
                  <c:v>7545</c:v>
                </c:pt>
                <c:pt idx="13">
                  <c:v>7545</c:v>
                </c:pt>
                <c:pt idx="14">
                  <c:v>7545</c:v>
                </c:pt>
                <c:pt idx="15">
                  <c:v>7545</c:v>
                </c:pt>
                <c:pt idx="16">
                  <c:v>7545</c:v>
                </c:pt>
                <c:pt idx="17">
                  <c:v>7545</c:v>
                </c:pt>
                <c:pt idx="18">
                  <c:v>6204.9190379279626</c:v>
                </c:pt>
                <c:pt idx="19">
                  <c:v>4284.4745685677299</c:v>
                </c:pt>
                <c:pt idx="20">
                  <c:v>2228.4999691673243</c:v>
                </c:pt>
                <c:pt idx="21">
                  <c:v>51.199809265105159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42D-45BF-870B-66B98DFC2F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839424"/>
        <c:axId val="126841216"/>
      </c:lineChart>
      <c:catAx>
        <c:axId val="12683942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crossAx val="126841216"/>
        <c:crosses val="autoZero"/>
        <c:auto val="1"/>
        <c:lblAlgn val="ctr"/>
        <c:lblOffset val="100"/>
        <c:tickLblSkip val="3"/>
        <c:tickMarkSkip val="1"/>
        <c:noMultiLvlLbl val="0"/>
      </c:catAx>
      <c:valAx>
        <c:axId val="12684121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$ thousands</a:t>
                </a:r>
              </a:p>
            </c:rich>
          </c:tx>
          <c:overlay val="0"/>
        </c:title>
        <c:numFmt formatCode="_(* #,##0_);_(* \(#,##0\);_(* &quot;-&quot;??_);_(@_)" sourceLinked="1"/>
        <c:majorTickMark val="out"/>
        <c:minorTickMark val="none"/>
        <c:tickLblPos val="nextTo"/>
        <c:crossAx val="126839424"/>
        <c:crosses val="autoZero"/>
        <c:crossBetween val="between"/>
      </c:valAx>
      <c:spPr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:spPr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0211" l="0.70000000000000062" r="0.70000000000000062" t="0.75000000000000211" header="0.30000000000000032" footer="0.30000000000000032"/>
    <c:pageSetup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Creekmoor POA</a:t>
            </a:r>
          </a:p>
          <a:p>
            <a:pPr>
              <a:defRPr/>
            </a:pPr>
            <a:r>
              <a:rPr lang="en-US" sz="1400" baseline="0">
                <a:solidFill>
                  <a:srgbClr val="010DFF"/>
                </a:solidFill>
              </a:rPr>
              <a:t>Loan Balance Forecast</a:t>
            </a:r>
          </a:p>
        </c:rich>
      </c:tx>
      <c:layout>
        <c:manualLayout>
          <c:xMode val="edge"/>
          <c:yMode val="edge"/>
          <c:x val="0.39316786810099558"/>
          <c:y val="2.9568256561808337E-2"/>
        </c:manualLayout>
      </c:layout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Working Capital Loan</c:v>
          </c:tx>
          <c:marker>
            <c:symbol val="none"/>
          </c:marker>
          <c:cat>
            <c:numRef>
              <c:f>'2013 Budget'!$C$3:$X$3</c:f>
              <c:numCache>
                <c:formatCode>General</c:formatCode>
                <c:ptCount val="22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  <c:pt idx="15">
                  <c:v>2024</c:v>
                </c:pt>
                <c:pt idx="16">
                  <c:v>2025</c:v>
                </c:pt>
                <c:pt idx="17">
                  <c:v>2026</c:v>
                </c:pt>
                <c:pt idx="18">
                  <c:v>2027</c:v>
                </c:pt>
                <c:pt idx="19">
                  <c:v>2028</c:v>
                </c:pt>
                <c:pt idx="20">
                  <c:v>2029</c:v>
                </c:pt>
                <c:pt idx="21">
                  <c:v>2030</c:v>
                </c:pt>
              </c:numCache>
            </c:numRef>
          </c:cat>
          <c:val>
            <c:numRef>
              <c:f>'2013 Budget'!$C$42:$X$42</c:f>
              <c:numCache>
                <c:formatCode>_(* #,##0_);_(* \(#,##0\);_(* "-"??_);_(@_)</c:formatCode>
                <c:ptCount val="22"/>
                <c:pt idx="0">
                  <c:v>4735</c:v>
                </c:pt>
                <c:pt idx="1">
                  <c:v>5318</c:v>
                </c:pt>
                <c:pt idx="2">
                  <c:v>5835</c:v>
                </c:pt>
                <c:pt idx="3">
                  <c:v>6332</c:v>
                </c:pt>
                <c:pt idx="4" formatCode="#,##0_);[Red]\(#,##0\)">
                  <c:v>6731.9425000000001</c:v>
                </c:pt>
                <c:pt idx="5" formatCode="#,##0_);[Red]\(#,##0\)">
                  <c:v>7116.3915880893128</c:v>
                </c:pt>
                <c:pt idx="6" formatCode="#,##0_);[Red]\(#,##0\)">
                  <c:v>7439.6152247707087</c:v>
                </c:pt>
                <c:pt idx="7" formatCode="#,##0_);[Red]\(#,##0\)">
                  <c:v>7763.2874525059697</c:v>
                </c:pt>
                <c:pt idx="8" formatCode="#,##0_);[Red]\(#,##0\)">
                  <c:v>8008.8140258603571</c:v>
                </c:pt>
                <c:pt idx="9" formatCode="#,##0_);[Red]\(#,##0\)">
                  <c:v>8165.391410266674</c:v>
                </c:pt>
                <c:pt idx="10" formatCode="#,##0_);[Red]\(#,##0\)">
                  <c:v>8221.240524396866</c:v>
                </c:pt>
                <c:pt idx="11" formatCode="#,##0_);[Red]\(#,##0\)">
                  <c:v>8163.5322884782299</c:v>
                </c:pt>
                <c:pt idx="12" formatCode="#,##0_);[Red]\(#,##0\)">
                  <c:v>7978.3079985300446</c:v>
                </c:pt>
                <c:pt idx="13" formatCode="#,##0_);[Red]\(#,##0\)">
                  <c:v>7650.3941880613165</c:v>
                </c:pt>
                <c:pt idx="14" formatCode="#,##0_);[Red]\(#,##0\)">
                  <c:v>7163.3116175533332</c:v>
                </c:pt>
                <c:pt idx="15" formatCode="#,##0_);[Red]\(#,##0\)">
                  <c:v>6505.8958179208003</c:v>
                </c:pt>
                <c:pt idx="16" formatCode="#,##0_);[Red]\(#,##0\)">
                  <c:v>5667.0621442598076</c:v>
                </c:pt>
                <c:pt idx="17" formatCode="#,##0_);[Red]\(#,##0\)">
                  <c:v>4653.4548656823054</c:v>
                </c:pt>
                <c:pt idx="18" formatCode="#,##0_);[Red]\(#,##0\)">
                  <c:v>3446.6299339820225</c:v>
                </c:pt>
                <c:pt idx="19" formatCode="#,##0_);[Red]\(#,##0\)">
                  <c:v>2026.6122268820445</c:v>
                </c:pt>
                <c:pt idx="20" formatCode="#,##0_);[Red]\(#,##0\)">
                  <c:v>389.93656513248743</c:v>
                </c:pt>
                <c:pt idx="21" formatCode="#,##0_);[Red]\(#,##0\)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DFE-44F5-9488-7CAC15D91ED1}"/>
            </c:ext>
          </c:extLst>
        </c:ser>
        <c:ser>
          <c:idx val="1"/>
          <c:order val="1"/>
          <c:tx>
            <c:v>Infrastructure Loan</c:v>
          </c:tx>
          <c:spPr>
            <a:ln>
              <a:solidFill>
                <a:srgbClr val="FF0000"/>
              </a:solidFill>
            </a:ln>
          </c:spPr>
          <c:marker>
            <c:symbol val="none"/>
          </c:marker>
          <c:cat>
            <c:numRef>
              <c:f>'2013 Budget'!$C$3:$X$3</c:f>
              <c:numCache>
                <c:formatCode>General</c:formatCode>
                <c:ptCount val="22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  <c:pt idx="15">
                  <c:v>2024</c:v>
                </c:pt>
                <c:pt idx="16">
                  <c:v>2025</c:v>
                </c:pt>
                <c:pt idx="17">
                  <c:v>2026</c:v>
                </c:pt>
                <c:pt idx="18">
                  <c:v>2027</c:v>
                </c:pt>
                <c:pt idx="19">
                  <c:v>2028</c:v>
                </c:pt>
                <c:pt idx="20">
                  <c:v>2029</c:v>
                </c:pt>
                <c:pt idx="21">
                  <c:v>2030</c:v>
                </c:pt>
              </c:numCache>
            </c:numRef>
          </c:cat>
          <c:val>
            <c:numRef>
              <c:f>'2013 Budget'!$C$43:$X$43</c:f>
              <c:numCache>
                <c:formatCode>_(* #,##0_);_(* \(#,##0\);_(* "-"??_);_(@_)</c:formatCode>
                <c:ptCount val="22"/>
                <c:pt idx="0">
                  <c:v>4731</c:v>
                </c:pt>
                <c:pt idx="1">
                  <c:v>4752</c:v>
                </c:pt>
                <c:pt idx="2">
                  <c:v>4776</c:v>
                </c:pt>
                <c:pt idx="3">
                  <c:v>5144</c:v>
                </c:pt>
                <c:pt idx="4">
                  <c:v>5604</c:v>
                </c:pt>
                <c:pt idx="5">
                  <c:v>6104</c:v>
                </c:pt>
                <c:pt idx="6">
                  <c:v>6704</c:v>
                </c:pt>
                <c:pt idx="7">
                  <c:v>7304</c:v>
                </c:pt>
                <c:pt idx="8">
                  <c:v>7500</c:v>
                </c:pt>
                <c:pt idx="9">
                  <c:v>7500</c:v>
                </c:pt>
                <c:pt idx="10">
                  <c:v>7500</c:v>
                </c:pt>
                <c:pt idx="11">
                  <c:v>7500</c:v>
                </c:pt>
                <c:pt idx="12">
                  <c:v>7500</c:v>
                </c:pt>
                <c:pt idx="13">
                  <c:v>7500</c:v>
                </c:pt>
                <c:pt idx="14">
                  <c:v>7500</c:v>
                </c:pt>
                <c:pt idx="15">
                  <c:v>7500</c:v>
                </c:pt>
                <c:pt idx="16">
                  <c:v>7500</c:v>
                </c:pt>
                <c:pt idx="17">
                  <c:v>7500</c:v>
                </c:pt>
                <c:pt idx="18">
                  <c:v>7500</c:v>
                </c:pt>
                <c:pt idx="19">
                  <c:v>7500</c:v>
                </c:pt>
                <c:pt idx="20">
                  <c:v>7500</c:v>
                </c:pt>
                <c:pt idx="21">
                  <c:v>6083.6561386661333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DFE-44F5-9488-7CAC15D91E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9520768"/>
        <c:axId val="149522304"/>
      </c:lineChart>
      <c:catAx>
        <c:axId val="149520768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crossAx val="149522304"/>
        <c:crosses val="autoZero"/>
        <c:auto val="1"/>
        <c:lblAlgn val="ctr"/>
        <c:lblOffset val="100"/>
        <c:tickLblSkip val="3"/>
        <c:tickMarkSkip val="1"/>
        <c:noMultiLvlLbl val="0"/>
      </c:catAx>
      <c:valAx>
        <c:axId val="14952230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$ thousands</a:t>
                </a:r>
              </a:p>
            </c:rich>
          </c:tx>
          <c:overlay val="0"/>
        </c:title>
        <c:numFmt formatCode="_(* #,##0_);_(* \(#,##0\);_(* &quot;-&quot;??_);_(@_)" sourceLinked="1"/>
        <c:majorTickMark val="out"/>
        <c:minorTickMark val="none"/>
        <c:tickLblPos val="nextTo"/>
        <c:crossAx val="149520768"/>
        <c:crosses val="autoZero"/>
        <c:crossBetween val="between"/>
      </c:valAx>
      <c:spPr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:spPr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0211" l="0.70000000000000062" r="0.70000000000000062" t="0.75000000000000211" header="0.30000000000000032" footer="0.30000000000000032"/>
    <c:pageSetup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Creekmoor POA</a:t>
            </a:r>
          </a:p>
          <a:p>
            <a:pPr>
              <a:defRPr/>
            </a:pPr>
            <a:r>
              <a:rPr lang="en-US" sz="1400" baseline="0">
                <a:solidFill>
                  <a:srgbClr val="010DFF"/>
                </a:solidFill>
              </a:rPr>
              <a:t>Loan Balance Forecast</a:t>
            </a:r>
          </a:p>
        </c:rich>
      </c:tx>
      <c:layout>
        <c:manualLayout>
          <c:xMode val="edge"/>
          <c:yMode val="edge"/>
          <c:x val="0.39316786810099558"/>
          <c:y val="2.956825656180833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1356756549346265E-2"/>
          <c:y val="0.21074088703306623"/>
          <c:w val="0.74953304560112066"/>
          <c:h val="0.70983913953104794"/>
        </c:manualLayout>
      </c:layout>
      <c:lineChart>
        <c:grouping val="standard"/>
        <c:varyColors val="0"/>
        <c:ser>
          <c:idx val="0"/>
          <c:order val="0"/>
          <c:tx>
            <c:v>Working Capital Loan</c:v>
          </c:tx>
          <c:marker>
            <c:symbol val="none"/>
          </c:marker>
          <c:cat>
            <c:numRef>
              <c:f>'2014 Budget'!$C$3:$X$3</c:f>
              <c:numCache>
                <c:formatCode>General</c:formatCode>
                <c:ptCount val="22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  <c:pt idx="15">
                  <c:v>2024</c:v>
                </c:pt>
                <c:pt idx="16">
                  <c:v>2025</c:v>
                </c:pt>
                <c:pt idx="17">
                  <c:v>2026</c:v>
                </c:pt>
                <c:pt idx="18">
                  <c:v>2027</c:v>
                </c:pt>
                <c:pt idx="19">
                  <c:v>2028</c:v>
                </c:pt>
                <c:pt idx="20">
                  <c:v>2029</c:v>
                </c:pt>
                <c:pt idx="21">
                  <c:v>2030</c:v>
                </c:pt>
              </c:numCache>
            </c:numRef>
          </c:cat>
          <c:val>
            <c:numRef>
              <c:f>'2014 Budget'!$C$42:$X$42</c:f>
              <c:numCache>
                <c:formatCode>_(* #,##0_);_(* \(#,##0\);_(* "-"??_);_(@_)</c:formatCode>
                <c:ptCount val="22"/>
                <c:pt idx="0">
                  <c:v>4735</c:v>
                </c:pt>
                <c:pt idx="1">
                  <c:v>5318</c:v>
                </c:pt>
                <c:pt idx="2">
                  <c:v>5835</c:v>
                </c:pt>
                <c:pt idx="3">
                  <c:v>6332</c:v>
                </c:pt>
                <c:pt idx="4">
                  <c:v>6730</c:v>
                </c:pt>
                <c:pt idx="5" formatCode="#,##0_);[Red]\(#,##0\)">
                  <c:v>7073</c:v>
                </c:pt>
                <c:pt idx="6" formatCode="#,##0_);[Red]\(#,##0\)">
                  <c:v>7391.0667272968749</c:v>
                </c:pt>
                <c:pt idx="7" formatCode="#,##0_);[Red]\(#,##0\)">
                  <c:v>7708.426737097011</c:v>
                </c:pt>
                <c:pt idx="8" formatCode="#,##0_);[Red]\(#,##0\)">
                  <c:v>7946.9505843075076</c:v>
                </c:pt>
                <c:pt idx="9" formatCode="#,##0_);[Red]\(#,##0\)">
                  <c:v>8095.8705000524778</c:v>
                </c:pt>
                <c:pt idx="10" formatCode="#,##0_);[Red]\(#,##0\)">
                  <c:v>8143.4484535721331</c:v>
                </c:pt>
                <c:pt idx="11" formatCode="#,##0_);[Red]\(#,##0\)">
                  <c:v>8076.9021404621672</c:v>
                </c:pt>
                <c:pt idx="12" formatCode="#,##0_);[Red]\(#,##0\)">
                  <c:v>7882.3258277421128</c:v>
                </c:pt>
                <c:pt idx="13" formatCode="#,##0_);[Red]\(#,##0\)">
                  <c:v>7544.6057192950975</c:v>
                </c:pt>
                <c:pt idx="14" formatCode="#,##0_);[Red]\(#,##0\)">
                  <c:v>7047.3294841280913</c:v>
                </c:pt>
                <c:pt idx="15" formatCode="#,##0_);[Red]\(#,##0\)">
                  <c:v>6379.6534305613914</c:v>
                </c:pt>
                <c:pt idx="16" formatCode="#,##0_);[Red]\(#,##0\)">
                  <c:v>5530.5758772220724</c:v>
                </c:pt>
                <c:pt idx="17" formatCode="#,##0_);[Red]\(#,##0\)">
                  <c:v>4506.8418159045541</c:v>
                </c:pt>
                <c:pt idx="18" formatCode="#,##0_);[Red]\(#,##0\)">
                  <c:v>3290.1179254831668</c:v>
                </c:pt>
                <c:pt idx="19" formatCode="#,##0_);[Red]\(#,##0\)">
                  <c:v>1860.5505651638482</c:v>
                </c:pt>
                <c:pt idx="20" formatCode="#,##0_);[Red]\(#,##0\)">
                  <c:v>215.31893524106727</c:v>
                </c:pt>
                <c:pt idx="21" formatCode="#,##0_);[Red]\(#,##0\)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5C3-4C9B-A619-FEA6DEA26546}"/>
            </c:ext>
          </c:extLst>
        </c:ser>
        <c:ser>
          <c:idx val="1"/>
          <c:order val="1"/>
          <c:tx>
            <c:v>Infrastructure Loan</c:v>
          </c:tx>
          <c:spPr>
            <a:ln>
              <a:solidFill>
                <a:srgbClr val="FF0000"/>
              </a:solidFill>
            </a:ln>
          </c:spPr>
          <c:marker>
            <c:symbol val="none"/>
          </c:marker>
          <c:cat>
            <c:numRef>
              <c:f>'2014 Budget'!$C$3:$X$3</c:f>
              <c:numCache>
                <c:formatCode>General</c:formatCode>
                <c:ptCount val="22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  <c:pt idx="15">
                  <c:v>2024</c:v>
                </c:pt>
                <c:pt idx="16">
                  <c:v>2025</c:v>
                </c:pt>
                <c:pt idx="17">
                  <c:v>2026</c:v>
                </c:pt>
                <c:pt idx="18">
                  <c:v>2027</c:v>
                </c:pt>
                <c:pt idx="19">
                  <c:v>2028</c:v>
                </c:pt>
                <c:pt idx="20">
                  <c:v>2029</c:v>
                </c:pt>
                <c:pt idx="21">
                  <c:v>2030</c:v>
                </c:pt>
              </c:numCache>
            </c:numRef>
          </c:cat>
          <c:val>
            <c:numRef>
              <c:f>'2014 Budget'!$C$43:$X$43</c:f>
              <c:numCache>
                <c:formatCode>_(* #,##0_);_(* \(#,##0\);_(* "-"??_);_(@_)</c:formatCode>
                <c:ptCount val="22"/>
                <c:pt idx="0">
                  <c:v>4731</c:v>
                </c:pt>
                <c:pt idx="1">
                  <c:v>4752</c:v>
                </c:pt>
                <c:pt idx="2">
                  <c:v>4776</c:v>
                </c:pt>
                <c:pt idx="3">
                  <c:v>5144</c:v>
                </c:pt>
                <c:pt idx="4">
                  <c:v>5444</c:v>
                </c:pt>
                <c:pt idx="5">
                  <c:v>6054</c:v>
                </c:pt>
                <c:pt idx="6">
                  <c:v>6654</c:v>
                </c:pt>
                <c:pt idx="7">
                  <c:v>7254</c:v>
                </c:pt>
                <c:pt idx="8">
                  <c:v>7500</c:v>
                </c:pt>
                <c:pt idx="9">
                  <c:v>7500</c:v>
                </c:pt>
                <c:pt idx="10">
                  <c:v>7500</c:v>
                </c:pt>
                <c:pt idx="11">
                  <c:v>7500</c:v>
                </c:pt>
                <c:pt idx="12">
                  <c:v>7500</c:v>
                </c:pt>
                <c:pt idx="13">
                  <c:v>7500</c:v>
                </c:pt>
                <c:pt idx="14">
                  <c:v>7500</c:v>
                </c:pt>
                <c:pt idx="15">
                  <c:v>7500</c:v>
                </c:pt>
                <c:pt idx="16">
                  <c:v>7500</c:v>
                </c:pt>
                <c:pt idx="17">
                  <c:v>7500</c:v>
                </c:pt>
                <c:pt idx="18">
                  <c:v>7500</c:v>
                </c:pt>
                <c:pt idx="19">
                  <c:v>7500</c:v>
                </c:pt>
                <c:pt idx="20">
                  <c:v>7500</c:v>
                </c:pt>
                <c:pt idx="21">
                  <c:v>5909.725936409277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5C3-4C9B-A619-FEA6DEA265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5788032"/>
        <c:axId val="175789568"/>
      </c:lineChart>
      <c:catAx>
        <c:axId val="175788032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crossAx val="175789568"/>
        <c:crosses val="autoZero"/>
        <c:auto val="1"/>
        <c:lblAlgn val="ctr"/>
        <c:lblOffset val="100"/>
        <c:tickLblSkip val="3"/>
        <c:tickMarkSkip val="1"/>
        <c:noMultiLvlLbl val="0"/>
      </c:catAx>
      <c:valAx>
        <c:axId val="17578956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$ thousands</a:t>
                </a:r>
              </a:p>
            </c:rich>
          </c:tx>
          <c:overlay val="0"/>
        </c:title>
        <c:numFmt formatCode="_(* #,##0_);_(* \(#,##0\);_(* &quot;-&quot;??_);_(@_)" sourceLinked="1"/>
        <c:majorTickMark val="out"/>
        <c:minorTickMark val="none"/>
        <c:tickLblPos val="nextTo"/>
        <c:crossAx val="175788032"/>
        <c:crosses val="autoZero"/>
        <c:crossBetween val="between"/>
      </c:valAx>
      <c:spPr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:spPr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0211" l="0.70000000000000062" r="0.70000000000000062" t="0.75000000000000211" header="0.30000000000000032" footer="0.30000000000000032"/>
    <c:pageSetup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Creekmoor POA</a:t>
            </a:r>
          </a:p>
          <a:p>
            <a:pPr>
              <a:defRPr/>
            </a:pPr>
            <a:r>
              <a:rPr lang="en-US" sz="1400" baseline="0">
                <a:solidFill>
                  <a:srgbClr val="010DFF"/>
                </a:solidFill>
              </a:rPr>
              <a:t>Loan Balance Forecast</a:t>
            </a:r>
          </a:p>
        </c:rich>
      </c:tx>
      <c:layout>
        <c:manualLayout>
          <c:xMode val="edge"/>
          <c:yMode val="edge"/>
          <c:x val="0.39316786810099558"/>
          <c:y val="2.956825656180833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1356756549346265E-2"/>
          <c:y val="0.21074088703306623"/>
          <c:w val="0.74953304560112066"/>
          <c:h val="0.70983913953104794"/>
        </c:manualLayout>
      </c:layout>
      <c:lineChart>
        <c:grouping val="standard"/>
        <c:varyColors val="0"/>
        <c:ser>
          <c:idx val="0"/>
          <c:order val="0"/>
          <c:tx>
            <c:v>Working Capital Loan</c:v>
          </c:tx>
          <c:marker>
            <c:symbol val="none"/>
          </c:marker>
          <c:cat>
            <c:numRef>
              <c:f>'2015 Budget'!$C$3:$X$3</c:f>
              <c:numCache>
                <c:formatCode>General</c:formatCode>
                <c:ptCount val="22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  <c:pt idx="15">
                  <c:v>2024</c:v>
                </c:pt>
                <c:pt idx="16">
                  <c:v>2025</c:v>
                </c:pt>
                <c:pt idx="17">
                  <c:v>2026</c:v>
                </c:pt>
                <c:pt idx="18">
                  <c:v>2027</c:v>
                </c:pt>
                <c:pt idx="19">
                  <c:v>2028</c:v>
                </c:pt>
                <c:pt idx="20">
                  <c:v>2029</c:v>
                </c:pt>
                <c:pt idx="21">
                  <c:v>2030</c:v>
                </c:pt>
              </c:numCache>
            </c:numRef>
          </c:cat>
          <c:val>
            <c:numRef>
              <c:f>'2015 Budget'!$C$44:$X$44</c:f>
              <c:numCache>
                <c:formatCode>_(* #,##0_);_(* \(#,##0\);_(* "-"??_);_(@_)</c:formatCode>
                <c:ptCount val="22"/>
                <c:pt idx="0">
                  <c:v>4735</c:v>
                </c:pt>
                <c:pt idx="1">
                  <c:v>5318</c:v>
                </c:pt>
                <c:pt idx="2">
                  <c:v>5835</c:v>
                </c:pt>
                <c:pt idx="3">
                  <c:v>6332</c:v>
                </c:pt>
                <c:pt idx="4">
                  <c:v>6730</c:v>
                </c:pt>
                <c:pt idx="5" formatCode="#,##0_);[Red]\(#,##0\)">
                  <c:v>7254</c:v>
                </c:pt>
                <c:pt idx="6" formatCode="#,##0_);[Red]\(#,##0\)">
                  <c:v>7629.875</c:v>
                </c:pt>
                <c:pt idx="7" formatCode="#,##0_);[Red]\(#,##0\)">
                  <c:v>8043.3220634078125</c:v>
                </c:pt>
                <c:pt idx="8" formatCode="#,##0_);[Red]\(#,##0\)">
                  <c:v>8388.7591974324096</c:v>
                </c:pt>
                <c:pt idx="9" formatCode="#,##0_);[Red]\(#,##0\)">
                  <c:v>8656.060558402778</c:v>
                </c:pt>
                <c:pt idx="10" formatCode="#,##0_);[Red]\(#,##0\)">
                  <c:v>8834.1595003488055</c:v>
                </c:pt>
                <c:pt idx="11" formatCode="#,##0_);[Red]\(#,##0\)">
                  <c:v>8910.9756148497709</c:v>
                </c:pt>
                <c:pt idx="12" formatCode="#,##0_);[Red]\(#,##0\)">
                  <c:v>8873.3366482356323</c:v>
                </c:pt>
                <c:pt idx="13" formatCode="#,##0_);[Red]\(#,##0\)">
                  <c:v>8706.8949586804447</c:v>
                </c:pt>
                <c:pt idx="14" formatCode="#,##0_);[Red]\(#,##0\)">
                  <c:v>8396.0381544650154</c:v>
                </c:pt>
                <c:pt idx="15" formatCode="#,##0_);[Red]\(#,##0\)">
                  <c:v>7930.7573951616514</c:v>
                </c:pt>
                <c:pt idx="16" formatCode="#,##0_);[Red]\(#,##0\)">
                  <c:v>7300.9219050595657</c:v>
                </c:pt>
                <c:pt idx="17" formatCode="#,##0_);[Red]\(#,##0\)">
                  <c:v>6503.9722921203502</c:v>
                </c:pt>
                <c:pt idx="18" formatCode="#,##0_);[Red]\(#,##0\)">
                  <c:v>5521.57707338827</c:v>
                </c:pt>
                <c:pt idx="19" formatCode="#,##0_);[Red]\(#,##0\)">
                  <c:v>4333.8621521728282</c:v>
                </c:pt>
                <c:pt idx="20" formatCode="#,##0_);[Red]\(#,##0\)">
                  <c:v>2937.0728938833772</c:v>
                </c:pt>
                <c:pt idx="21" formatCode="#,##0_);[Red]\(#,##0\)">
                  <c:v>1333.7650244432941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DAB-47F2-992E-D07D0ED2C647}"/>
            </c:ext>
          </c:extLst>
        </c:ser>
        <c:ser>
          <c:idx val="1"/>
          <c:order val="1"/>
          <c:tx>
            <c:v>Infrastructure Loan</c:v>
          </c:tx>
          <c:spPr>
            <a:ln>
              <a:solidFill>
                <a:srgbClr val="FF0000"/>
              </a:solidFill>
            </a:ln>
          </c:spPr>
          <c:marker>
            <c:symbol val="none"/>
          </c:marker>
          <c:cat>
            <c:numRef>
              <c:f>'2015 Budget'!$C$3:$X$3</c:f>
              <c:numCache>
                <c:formatCode>General</c:formatCode>
                <c:ptCount val="22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  <c:pt idx="15">
                  <c:v>2024</c:v>
                </c:pt>
                <c:pt idx="16">
                  <c:v>2025</c:v>
                </c:pt>
                <c:pt idx="17">
                  <c:v>2026</c:v>
                </c:pt>
                <c:pt idx="18">
                  <c:v>2027</c:v>
                </c:pt>
                <c:pt idx="19">
                  <c:v>2028</c:v>
                </c:pt>
                <c:pt idx="20">
                  <c:v>2029</c:v>
                </c:pt>
                <c:pt idx="21">
                  <c:v>2030</c:v>
                </c:pt>
              </c:numCache>
            </c:numRef>
          </c:cat>
          <c:val>
            <c:numRef>
              <c:f>'2015 Budget'!$C$45:$X$45</c:f>
              <c:numCache>
                <c:formatCode>_(* #,##0_);_(* \(#,##0\);_(* "-"??_);_(@_)</c:formatCode>
                <c:ptCount val="22"/>
                <c:pt idx="0">
                  <c:v>4731</c:v>
                </c:pt>
                <c:pt idx="1">
                  <c:v>4752</c:v>
                </c:pt>
                <c:pt idx="2">
                  <c:v>4776</c:v>
                </c:pt>
                <c:pt idx="3">
                  <c:v>5144</c:v>
                </c:pt>
                <c:pt idx="4">
                  <c:v>5444</c:v>
                </c:pt>
                <c:pt idx="5">
                  <c:v>6423</c:v>
                </c:pt>
                <c:pt idx="6">
                  <c:v>7191</c:v>
                </c:pt>
                <c:pt idx="7">
                  <c:v>7500</c:v>
                </c:pt>
                <c:pt idx="8">
                  <c:v>7500</c:v>
                </c:pt>
                <c:pt idx="9">
                  <c:v>7500</c:v>
                </c:pt>
                <c:pt idx="10">
                  <c:v>7500</c:v>
                </c:pt>
                <c:pt idx="11">
                  <c:v>7500</c:v>
                </c:pt>
                <c:pt idx="12">
                  <c:v>7500</c:v>
                </c:pt>
                <c:pt idx="13">
                  <c:v>7500</c:v>
                </c:pt>
                <c:pt idx="14">
                  <c:v>7500</c:v>
                </c:pt>
                <c:pt idx="15">
                  <c:v>7500</c:v>
                </c:pt>
                <c:pt idx="16">
                  <c:v>7500</c:v>
                </c:pt>
                <c:pt idx="17">
                  <c:v>7500</c:v>
                </c:pt>
                <c:pt idx="18">
                  <c:v>7500</c:v>
                </c:pt>
                <c:pt idx="19">
                  <c:v>7500</c:v>
                </c:pt>
                <c:pt idx="20">
                  <c:v>7500</c:v>
                </c:pt>
                <c:pt idx="21">
                  <c:v>7500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DAB-47F2-992E-D07D0ED2C64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5601152"/>
        <c:axId val="175602688"/>
      </c:lineChart>
      <c:catAx>
        <c:axId val="175601152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crossAx val="175602688"/>
        <c:crosses val="autoZero"/>
        <c:auto val="1"/>
        <c:lblAlgn val="ctr"/>
        <c:lblOffset val="100"/>
        <c:tickLblSkip val="3"/>
        <c:tickMarkSkip val="1"/>
        <c:noMultiLvlLbl val="0"/>
      </c:catAx>
      <c:valAx>
        <c:axId val="17560268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$ thousands</a:t>
                </a:r>
              </a:p>
            </c:rich>
          </c:tx>
          <c:overlay val="0"/>
        </c:title>
        <c:numFmt formatCode="_(* #,##0_);_(* \(#,##0\);_(* &quot;-&quot;??_);_(@_)" sourceLinked="1"/>
        <c:majorTickMark val="out"/>
        <c:minorTickMark val="none"/>
        <c:tickLblPos val="nextTo"/>
        <c:crossAx val="175601152"/>
        <c:crosses val="autoZero"/>
        <c:crossBetween val="between"/>
      </c:valAx>
      <c:spPr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:spPr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0211" l="0.70000000000000062" r="0.70000000000000062" t="0.75000000000000211" header="0.30000000000000032" footer="0.30000000000000032"/>
    <c:pageSetup orientation="landscape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Creekmoor POA</a:t>
            </a:r>
          </a:p>
          <a:p>
            <a:pPr>
              <a:defRPr/>
            </a:pPr>
            <a:r>
              <a:rPr lang="en-US" sz="1400" baseline="0">
                <a:solidFill>
                  <a:srgbClr val="010DFF"/>
                </a:solidFill>
              </a:rPr>
              <a:t>Excess (Shortfall), Golf vs. Non-Golf Operations</a:t>
            </a:r>
          </a:p>
        </c:rich>
      </c:tx>
      <c:layout>
        <c:manualLayout>
          <c:xMode val="edge"/>
          <c:yMode val="edge"/>
          <c:x val="0.25676391203978155"/>
          <c:y val="3.635485804198102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1356756549346265E-2"/>
          <c:y val="0.21074088703306623"/>
          <c:w val="0.74953304560112066"/>
          <c:h val="0.70983913953104794"/>
        </c:manualLayout>
      </c:layout>
      <c:lineChart>
        <c:grouping val="standard"/>
        <c:varyColors val="0"/>
        <c:ser>
          <c:idx val="0"/>
          <c:order val="0"/>
          <c:tx>
            <c:v>Non-Golf Operations</c:v>
          </c:tx>
          <c:marker>
            <c:symbol val="none"/>
          </c:marker>
          <c:cat>
            <c:numRef>
              <c:f>'2015 Budget'!$C$3:$X$3</c:f>
              <c:numCache>
                <c:formatCode>General</c:formatCode>
                <c:ptCount val="22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  <c:pt idx="15">
                  <c:v>2024</c:v>
                </c:pt>
                <c:pt idx="16">
                  <c:v>2025</c:v>
                </c:pt>
                <c:pt idx="17">
                  <c:v>2026</c:v>
                </c:pt>
                <c:pt idx="18">
                  <c:v>2027</c:v>
                </c:pt>
                <c:pt idx="19">
                  <c:v>2028</c:v>
                </c:pt>
                <c:pt idx="20">
                  <c:v>2029</c:v>
                </c:pt>
                <c:pt idx="21">
                  <c:v>2030</c:v>
                </c:pt>
              </c:numCache>
            </c:numRef>
          </c:cat>
          <c:val>
            <c:numRef>
              <c:f>'2015 Budget'!$C$73:$X$73</c:f>
              <c:numCache>
                <c:formatCode>#,##0_);\(#,##0\)</c:formatCode>
                <c:ptCount val="22"/>
                <c:pt idx="0">
                  <c:v>-304</c:v>
                </c:pt>
                <c:pt idx="1">
                  <c:v>-203</c:v>
                </c:pt>
                <c:pt idx="2">
                  <c:v>-249</c:v>
                </c:pt>
                <c:pt idx="3">
                  <c:v>-178</c:v>
                </c:pt>
                <c:pt idx="4">
                  <c:v>-165</c:v>
                </c:pt>
                <c:pt idx="5">
                  <c:v>-129</c:v>
                </c:pt>
                <c:pt idx="6">
                  <c:v>-46.875</c:v>
                </c:pt>
                <c:pt idx="7">
                  <c:v>-11.304866249999897</c:v>
                </c:pt>
                <c:pt idx="8">
                  <c:v>59.401424187500155</c:v>
                </c:pt>
                <c:pt idx="9">
                  <c:v>136.86522347250036</c:v>
                </c:pt>
                <c:pt idx="10">
                  <c:v>221.5781801230271</c:v>
                </c:pt>
                <c:pt idx="11">
                  <c:v>314.06402795106379</c:v>
                </c:pt>
                <c:pt idx="12">
                  <c:v>414.88056071818579</c:v>
                </c:pt>
                <c:pt idx="13">
                  <c:v>524.62172391980505</c:v>
                </c:pt>
                <c:pt idx="14">
                  <c:v>643.91983047093709</c:v>
                </c:pt>
                <c:pt idx="15">
                  <c:v>766.62894731941344</c:v>
                </c:pt>
                <c:pt idx="16">
                  <c:v>892.44245705539765</c:v>
                </c:pt>
                <c:pt idx="17">
                  <c:v>1028.5151929227909</c:v>
                </c:pt>
                <c:pt idx="18">
                  <c:v>1175.5495805993169</c:v>
                </c:pt>
                <c:pt idx="19">
                  <c:v>1334.2924128032282</c:v>
                </c:pt>
                <c:pt idx="20">
                  <c:v>1488.1316979105713</c:v>
                </c:pt>
                <c:pt idx="21">
                  <c:v>1630.7312402280156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0C6-408C-B718-B9FFB800B2AC}"/>
            </c:ext>
          </c:extLst>
        </c:ser>
        <c:ser>
          <c:idx val="1"/>
          <c:order val="1"/>
          <c:tx>
            <c:v>Golf Operations</c:v>
          </c:tx>
          <c:marker>
            <c:symbol val="none"/>
          </c:marker>
          <c:cat>
            <c:numRef>
              <c:f>'2015 Budget'!$C$3:$X$3</c:f>
              <c:numCache>
                <c:formatCode>General</c:formatCode>
                <c:ptCount val="22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  <c:pt idx="15">
                  <c:v>2024</c:v>
                </c:pt>
                <c:pt idx="16">
                  <c:v>2025</c:v>
                </c:pt>
                <c:pt idx="17">
                  <c:v>2026</c:v>
                </c:pt>
                <c:pt idx="18">
                  <c:v>2027</c:v>
                </c:pt>
                <c:pt idx="19">
                  <c:v>2028</c:v>
                </c:pt>
                <c:pt idx="20">
                  <c:v>2029</c:v>
                </c:pt>
                <c:pt idx="21">
                  <c:v>2030</c:v>
                </c:pt>
              </c:numCache>
            </c:numRef>
          </c:cat>
          <c:val>
            <c:numRef>
              <c:f>'2015 Budget'!$C$74:$X$74</c:f>
              <c:numCache>
                <c:formatCode>#,##0_);\(#,##0\)</c:formatCode>
                <c:ptCount val="22"/>
                <c:pt idx="0">
                  <c:v>-281</c:v>
                </c:pt>
                <c:pt idx="1">
                  <c:v>-173</c:v>
                </c:pt>
                <c:pt idx="2">
                  <c:v>-45</c:v>
                </c:pt>
                <c:pt idx="3">
                  <c:v>-36</c:v>
                </c:pt>
                <c:pt idx="4">
                  <c:v>-37</c:v>
                </c:pt>
                <c:pt idx="5">
                  <c:v>-180</c:v>
                </c:pt>
                <c:pt idx="6">
                  <c:v>-89</c:v>
                </c:pt>
                <c:pt idx="7">
                  <c:v>-76.225000000000051</c:v>
                </c:pt>
                <c:pt idx="8">
                  <c:v>-63.130624999999966</c:v>
                </c:pt>
                <c:pt idx="9">
                  <c:v>-49.708890624999981</c:v>
                </c:pt>
                <c:pt idx="10">
                  <c:v>-35.951612890625029</c:v>
                </c:pt>
                <c:pt idx="11">
                  <c:v>-21.850403212890626</c:v>
                </c:pt>
                <c:pt idx="12">
                  <c:v>-7.3966632932129528</c:v>
                </c:pt>
                <c:pt idx="13">
                  <c:v>7.4184201244567021</c:v>
                </c:pt>
                <c:pt idx="14">
                  <c:v>22.60388062756806</c:v>
                </c:pt>
                <c:pt idx="15">
                  <c:v>38.168977643257335</c:v>
                </c:pt>
                <c:pt idx="16">
                  <c:v>54.1232020843388</c:v>
                </c:pt>
                <c:pt idx="17">
                  <c:v>55.476282136447253</c:v>
                </c:pt>
                <c:pt idx="18">
                  <c:v>56.863189189858304</c:v>
                </c:pt>
                <c:pt idx="19">
                  <c:v>58.284768919604858</c:v>
                </c:pt>
                <c:pt idx="20">
                  <c:v>59.741888142594917</c:v>
                </c:pt>
                <c:pt idx="21">
                  <c:v>61.235435346159875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0C6-408C-B718-B9FFB800B2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5640576"/>
        <c:axId val="175642112"/>
      </c:lineChart>
      <c:catAx>
        <c:axId val="175640576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low"/>
        <c:crossAx val="175642112"/>
        <c:crosses val="autoZero"/>
        <c:auto val="1"/>
        <c:lblAlgn val="ctr"/>
        <c:lblOffset val="100"/>
        <c:tickLblSkip val="3"/>
        <c:tickMarkSkip val="1"/>
        <c:noMultiLvlLbl val="0"/>
      </c:catAx>
      <c:valAx>
        <c:axId val="17564211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$ thousands</a:t>
                </a:r>
              </a:p>
            </c:rich>
          </c:tx>
          <c:overlay val="0"/>
        </c:title>
        <c:numFmt formatCode="#,##0_);\(#,##0\)" sourceLinked="1"/>
        <c:majorTickMark val="out"/>
        <c:minorTickMark val="none"/>
        <c:tickLblPos val="nextTo"/>
        <c:crossAx val="175640576"/>
        <c:crosses val="autoZero"/>
        <c:crossBetween val="between"/>
      </c:valAx>
      <c:spPr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:spPr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0211" l="0.70000000000000062" r="0.70000000000000062" t="0.75000000000000211" header="0.30000000000000032" footer="0.30000000000000032"/>
    <c:pageSetup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Creekmoor POA</a:t>
            </a:r>
          </a:p>
          <a:p>
            <a:pPr>
              <a:defRPr/>
            </a:pPr>
            <a:r>
              <a:rPr lang="en-US" sz="1400" baseline="0">
                <a:solidFill>
                  <a:srgbClr val="010DFF"/>
                </a:solidFill>
              </a:rPr>
              <a:t>Loan Balance Forecast</a:t>
            </a:r>
          </a:p>
        </c:rich>
      </c:tx>
      <c:layout>
        <c:manualLayout>
          <c:xMode val="edge"/>
          <c:yMode val="edge"/>
          <c:x val="0.39316786810099558"/>
          <c:y val="2.956825656180833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1356756549346265E-2"/>
          <c:y val="0.21074088703306623"/>
          <c:w val="0.74953304560112066"/>
          <c:h val="0.70983913953104794"/>
        </c:manualLayout>
      </c:layout>
      <c:lineChart>
        <c:grouping val="standard"/>
        <c:varyColors val="0"/>
        <c:ser>
          <c:idx val="0"/>
          <c:order val="0"/>
          <c:tx>
            <c:v>Working Capital Loan</c:v>
          </c:tx>
          <c:marker>
            <c:symbol val="none"/>
          </c:marker>
          <c:cat>
            <c:numRef>
              <c:f>'2016 Budget'!$C$3:$X$3</c:f>
              <c:numCache>
                <c:formatCode>General</c:formatCode>
                <c:ptCount val="22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  <c:pt idx="15">
                  <c:v>2024</c:v>
                </c:pt>
                <c:pt idx="16">
                  <c:v>2025</c:v>
                </c:pt>
                <c:pt idx="17">
                  <c:v>2026</c:v>
                </c:pt>
                <c:pt idx="18">
                  <c:v>2027</c:v>
                </c:pt>
                <c:pt idx="19">
                  <c:v>2028</c:v>
                </c:pt>
                <c:pt idx="20">
                  <c:v>2029</c:v>
                </c:pt>
                <c:pt idx="21">
                  <c:v>2030</c:v>
                </c:pt>
              </c:numCache>
            </c:numRef>
          </c:cat>
          <c:val>
            <c:numRef>
              <c:f>'2016 Budget'!$C$44:$X$44</c:f>
              <c:numCache>
                <c:formatCode>_(* #,##0_);_(* \(#,##0\);_(* "-"??_);_(@_)</c:formatCode>
                <c:ptCount val="22"/>
                <c:pt idx="0">
                  <c:v>4735</c:v>
                </c:pt>
                <c:pt idx="1">
                  <c:v>5318</c:v>
                </c:pt>
                <c:pt idx="2">
                  <c:v>5835</c:v>
                </c:pt>
                <c:pt idx="3">
                  <c:v>6332</c:v>
                </c:pt>
                <c:pt idx="4">
                  <c:v>6730</c:v>
                </c:pt>
                <c:pt idx="5" formatCode="#,##0_);[Red]\(#,##0\)">
                  <c:v>7254</c:v>
                </c:pt>
                <c:pt idx="6" formatCode="#,##0_);[Red]\(#,##0\)">
                  <c:v>7842</c:v>
                </c:pt>
                <c:pt idx="7" formatCode="#,##0_);[Red]\(#,##0\)">
                  <c:v>8293.4643749999996</c:v>
                </c:pt>
                <c:pt idx="8" formatCode="#,##0_);[Red]\(#,##0\)">
                  <c:v>8644.6675225781237</c:v>
                </c:pt>
                <c:pt idx="9" formatCode="#,##0_);[Red]\(#,##0\)">
                  <c:v>8898.3380272637096</c:v>
                </c:pt>
                <c:pt idx="10" formatCode="#,##0_);[Red]\(#,##0\)">
                  <c:v>9044.6630125088777</c:v>
                </c:pt>
                <c:pt idx="11" formatCode="#,##0_);[Red]\(#,##0\)">
                  <c:v>9073.0946661658363</c:v>
                </c:pt>
                <c:pt idx="12" formatCode="#,##0_);[Red]\(#,##0\)">
                  <c:v>9026.1620157260404</c:v>
                </c:pt>
                <c:pt idx="13" formatCode="#,##0_);[Red]\(#,##0\)">
                  <c:v>8894.7928340988892</c:v>
                </c:pt>
                <c:pt idx="14" formatCode="#,##0_);[Red]\(#,##0\)">
                  <c:v>8669.1562349943397</c:v>
                </c:pt>
                <c:pt idx="15" formatCode="#,##0_);[Red]\(#,##0\)">
                  <c:v>8338.6083942368241</c:v>
                </c:pt>
                <c:pt idx="16" formatCode="#,##0_);[Red]\(#,##0\)">
                  <c:v>7891.6347098026108</c:v>
                </c:pt>
                <c:pt idx="17" formatCode="#,##0_);[Red]\(#,##0\)">
                  <c:v>7315.7881793340212</c:v>
                </c:pt>
                <c:pt idx="18" formatCode="#,##0_);[Red]\(#,##0\)">
                  <c:v>6597.6237606413233</c:v>
                </c:pt>
                <c:pt idx="19" formatCode="#,##0_);[Red]\(#,##0\)">
                  <c:v>5722.6284666889233</c:v>
                </c:pt>
                <c:pt idx="20" formatCode="#,##0_);[Red]\(#,##0\)">
                  <c:v>4675.1469317325555</c:v>
                </c:pt>
                <c:pt idx="21" formatCode="#,##0_);[Red]\(#,##0\)">
                  <c:v>3438.3021695820835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E4F-4528-83E8-49D67A5994C8}"/>
            </c:ext>
          </c:extLst>
        </c:ser>
        <c:ser>
          <c:idx val="1"/>
          <c:order val="1"/>
          <c:tx>
            <c:v>Infrastructure Loan</c:v>
          </c:tx>
          <c:spPr>
            <a:ln>
              <a:solidFill>
                <a:srgbClr val="FF0000"/>
              </a:solidFill>
            </a:ln>
          </c:spPr>
          <c:marker>
            <c:symbol val="none"/>
          </c:marker>
          <c:cat>
            <c:numRef>
              <c:f>'2016 Budget'!$C$3:$X$3</c:f>
              <c:numCache>
                <c:formatCode>General</c:formatCode>
                <c:ptCount val="22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  <c:pt idx="15">
                  <c:v>2024</c:v>
                </c:pt>
                <c:pt idx="16">
                  <c:v>2025</c:v>
                </c:pt>
                <c:pt idx="17">
                  <c:v>2026</c:v>
                </c:pt>
                <c:pt idx="18">
                  <c:v>2027</c:v>
                </c:pt>
                <c:pt idx="19">
                  <c:v>2028</c:v>
                </c:pt>
                <c:pt idx="20">
                  <c:v>2029</c:v>
                </c:pt>
                <c:pt idx="21">
                  <c:v>2030</c:v>
                </c:pt>
              </c:numCache>
            </c:numRef>
          </c:cat>
          <c:val>
            <c:numRef>
              <c:f>'2015 Budget'!$C$45:$X$45</c:f>
              <c:numCache>
                <c:formatCode>_(* #,##0_);_(* \(#,##0\);_(* "-"??_);_(@_)</c:formatCode>
                <c:ptCount val="22"/>
                <c:pt idx="0">
                  <c:v>4731</c:v>
                </c:pt>
                <c:pt idx="1">
                  <c:v>4752</c:v>
                </c:pt>
                <c:pt idx="2">
                  <c:v>4776</c:v>
                </c:pt>
                <c:pt idx="3">
                  <c:v>5144</c:v>
                </c:pt>
                <c:pt idx="4">
                  <c:v>5444</c:v>
                </c:pt>
                <c:pt idx="5">
                  <c:v>6423</c:v>
                </c:pt>
                <c:pt idx="6">
                  <c:v>7191</c:v>
                </c:pt>
                <c:pt idx="7">
                  <c:v>7500</c:v>
                </c:pt>
                <c:pt idx="8">
                  <c:v>7500</c:v>
                </c:pt>
                <c:pt idx="9">
                  <c:v>7500</c:v>
                </c:pt>
                <c:pt idx="10">
                  <c:v>7500</c:v>
                </c:pt>
                <c:pt idx="11">
                  <c:v>7500</c:v>
                </c:pt>
                <c:pt idx="12">
                  <c:v>7500</c:v>
                </c:pt>
                <c:pt idx="13">
                  <c:v>7500</c:v>
                </c:pt>
                <c:pt idx="14">
                  <c:v>7500</c:v>
                </c:pt>
                <c:pt idx="15">
                  <c:v>7500</c:v>
                </c:pt>
                <c:pt idx="16">
                  <c:v>7500</c:v>
                </c:pt>
                <c:pt idx="17">
                  <c:v>7500</c:v>
                </c:pt>
                <c:pt idx="18">
                  <c:v>7500</c:v>
                </c:pt>
                <c:pt idx="19">
                  <c:v>7500</c:v>
                </c:pt>
                <c:pt idx="20">
                  <c:v>7500</c:v>
                </c:pt>
                <c:pt idx="21">
                  <c:v>7500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E4F-4528-83E8-49D67A599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5700992"/>
        <c:axId val="175702784"/>
      </c:lineChart>
      <c:catAx>
        <c:axId val="175700992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crossAx val="175702784"/>
        <c:crosses val="autoZero"/>
        <c:auto val="1"/>
        <c:lblAlgn val="ctr"/>
        <c:lblOffset val="100"/>
        <c:tickLblSkip val="3"/>
        <c:tickMarkSkip val="1"/>
        <c:noMultiLvlLbl val="0"/>
      </c:catAx>
      <c:valAx>
        <c:axId val="17570278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$ thousands</a:t>
                </a:r>
              </a:p>
            </c:rich>
          </c:tx>
          <c:overlay val="0"/>
        </c:title>
        <c:numFmt formatCode="_(* #,##0_);_(* \(#,##0\);_(* &quot;-&quot;??_);_(@_)" sourceLinked="1"/>
        <c:majorTickMark val="out"/>
        <c:minorTickMark val="none"/>
        <c:tickLblPos val="nextTo"/>
        <c:crossAx val="175700992"/>
        <c:crosses val="autoZero"/>
        <c:crossBetween val="between"/>
      </c:valAx>
      <c:spPr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:spPr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0211" l="0.70000000000000062" r="0.70000000000000062" t="0.75000000000000211" header="0.30000000000000032" footer="0.30000000000000032"/>
    <c:pageSetup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Creekmoor POA</a:t>
            </a:r>
          </a:p>
          <a:p>
            <a:pPr>
              <a:defRPr/>
            </a:pPr>
            <a:r>
              <a:rPr lang="en-US" sz="1400" baseline="0">
                <a:solidFill>
                  <a:srgbClr val="010DFF"/>
                </a:solidFill>
              </a:rPr>
              <a:t>Excess (Shortfall), Golf vs. Non-Golf Operations</a:t>
            </a:r>
          </a:p>
        </c:rich>
      </c:tx>
      <c:layout>
        <c:manualLayout>
          <c:xMode val="edge"/>
          <c:yMode val="edge"/>
          <c:x val="0.25676391203978155"/>
          <c:y val="3.635485804198102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1356756549346265E-2"/>
          <c:y val="0.21074088703306623"/>
          <c:w val="0.74953304560112066"/>
          <c:h val="0.70983913953104794"/>
        </c:manualLayout>
      </c:layout>
      <c:lineChart>
        <c:grouping val="standard"/>
        <c:varyColors val="0"/>
        <c:ser>
          <c:idx val="0"/>
          <c:order val="0"/>
          <c:tx>
            <c:v>Non-Golf Operations</c:v>
          </c:tx>
          <c:marker>
            <c:symbol val="none"/>
          </c:marker>
          <c:cat>
            <c:numRef>
              <c:f>'2016 Budget'!$C$3:$X$3</c:f>
              <c:numCache>
                <c:formatCode>General</c:formatCode>
                <c:ptCount val="22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  <c:pt idx="15">
                  <c:v>2024</c:v>
                </c:pt>
                <c:pt idx="16">
                  <c:v>2025</c:v>
                </c:pt>
                <c:pt idx="17">
                  <c:v>2026</c:v>
                </c:pt>
                <c:pt idx="18">
                  <c:v>2027</c:v>
                </c:pt>
                <c:pt idx="19">
                  <c:v>2028</c:v>
                </c:pt>
                <c:pt idx="20">
                  <c:v>2029</c:v>
                </c:pt>
                <c:pt idx="21">
                  <c:v>2030</c:v>
                </c:pt>
              </c:numCache>
            </c:numRef>
          </c:cat>
          <c:val>
            <c:numRef>
              <c:f>'2016 Budget'!$C$73:$X$73</c:f>
              <c:numCache>
                <c:formatCode>#,##0_);\(#,##0\)</c:formatCode>
                <c:ptCount val="22"/>
                <c:pt idx="0">
                  <c:v>-304</c:v>
                </c:pt>
                <c:pt idx="1">
                  <c:v>-203</c:v>
                </c:pt>
                <c:pt idx="2">
                  <c:v>-249</c:v>
                </c:pt>
                <c:pt idx="3">
                  <c:v>-178</c:v>
                </c:pt>
                <c:pt idx="4">
                  <c:v>-165</c:v>
                </c:pt>
                <c:pt idx="5">
                  <c:v>-138</c:v>
                </c:pt>
                <c:pt idx="6">
                  <c:v>-143</c:v>
                </c:pt>
                <c:pt idx="7">
                  <c:v>23.535625000000209</c:v>
                </c:pt>
                <c:pt idx="8">
                  <c:v>64.225437500000339</c:v>
                </c:pt>
                <c:pt idx="9">
                  <c:v>122.0507318125004</c:v>
                </c:pt>
                <c:pt idx="10">
                  <c:v>185.17838372182834</c:v>
                </c:pt>
                <c:pt idx="11">
                  <c:v>253.98689605057382</c:v>
                </c:pt>
                <c:pt idx="12">
                  <c:v>328.87918024457377</c:v>
                </c:pt>
                <c:pt idx="13">
                  <c:v>410.28404597042356</c:v>
                </c:pt>
                <c:pt idx="14">
                  <c:v>498.6577785057205</c:v>
                </c:pt>
                <c:pt idx="15">
                  <c:v>594.4858089725451</c:v>
                </c:pt>
                <c:pt idx="16">
                  <c:v>698.28448275007656</c:v>
                </c:pt>
                <c:pt idx="17">
                  <c:v>810.60293170354396</c:v>
                </c:pt>
                <c:pt idx="18">
                  <c:v>932.02505618476675</c:v>
                </c:pt>
                <c:pt idx="19">
                  <c:v>1063.1716230953275</c:v>
                </c:pt>
                <c:pt idx="20">
                  <c:v>1204.7024866578856</c:v>
                </c:pt>
                <c:pt idx="21">
                  <c:v>1357.3189389152826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6E3-41A0-A7AE-6C9E510F4255}"/>
            </c:ext>
          </c:extLst>
        </c:ser>
        <c:ser>
          <c:idx val="1"/>
          <c:order val="1"/>
          <c:tx>
            <c:v>Golf Operations</c:v>
          </c:tx>
          <c:marker>
            <c:symbol val="none"/>
          </c:marker>
          <c:cat>
            <c:numRef>
              <c:f>'2016 Budget'!$C$3:$X$3</c:f>
              <c:numCache>
                <c:formatCode>General</c:formatCode>
                <c:ptCount val="22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  <c:pt idx="15">
                  <c:v>2024</c:v>
                </c:pt>
                <c:pt idx="16">
                  <c:v>2025</c:v>
                </c:pt>
                <c:pt idx="17">
                  <c:v>2026</c:v>
                </c:pt>
                <c:pt idx="18">
                  <c:v>2027</c:v>
                </c:pt>
                <c:pt idx="19">
                  <c:v>2028</c:v>
                </c:pt>
                <c:pt idx="20">
                  <c:v>2029</c:v>
                </c:pt>
                <c:pt idx="21">
                  <c:v>2030</c:v>
                </c:pt>
              </c:numCache>
            </c:numRef>
          </c:cat>
          <c:val>
            <c:numRef>
              <c:f>'2016 Budget'!$C$74:$X$74</c:f>
              <c:numCache>
                <c:formatCode>#,##0_);\(#,##0\)</c:formatCode>
                <c:ptCount val="22"/>
                <c:pt idx="0">
                  <c:v>-281</c:v>
                </c:pt>
                <c:pt idx="1">
                  <c:v>-173</c:v>
                </c:pt>
                <c:pt idx="2">
                  <c:v>-45</c:v>
                </c:pt>
                <c:pt idx="3">
                  <c:v>-36</c:v>
                </c:pt>
                <c:pt idx="4">
                  <c:v>-37</c:v>
                </c:pt>
                <c:pt idx="5">
                  <c:v>-145</c:v>
                </c:pt>
                <c:pt idx="6">
                  <c:v>-237</c:v>
                </c:pt>
                <c:pt idx="7">
                  <c:v>-193</c:v>
                </c:pt>
                <c:pt idx="8">
                  <c:v>-144.82499999999993</c:v>
                </c:pt>
                <c:pt idx="9">
                  <c:v>-95.445624999999922</c:v>
                </c:pt>
                <c:pt idx="10">
                  <c:v>-44.831765624999861</c:v>
                </c:pt>
                <c:pt idx="11">
                  <c:v>7.0474402343751308</c:v>
                </c:pt>
                <c:pt idx="12">
                  <c:v>7.2236262402345233</c:v>
                </c:pt>
                <c:pt idx="13">
                  <c:v>7.4042168962404276</c:v>
                </c:pt>
                <c:pt idx="14">
                  <c:v>7.5893223186464525</c:v>
                </c:pt>
                <c:pt idx="15">
                  <c:v>7.7790553766126322</c:v>
                </c:pt>
                <c:pt idx="16">
                  <c:v>7.9735317610278571</c:v>
                </c:pt>
                <c:pt idx="17">
                  <c:v>8.1728700550535223</c:v>
                </c:pt>
                <c:pt idx="18">
                  <c:v>8.3771918064298916</c:v>
                </c:pt>
                <c:pt idx="19">
                  <c:v>8.5866216015904229</c:v>
                </c:pt>
                <c:pt idx="20">
                  <c:v>8.8012871416303824</c:v>
                </c:pt>
                <c:pt idx="21">
                  <c:v>9.0213193201711874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6E3-41A0-A7AE-6C9E510F42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5732608"/>
        <c:axId val="175734144"/>
      </c:lineChart>
      <c:catAx>
        <c:axId val="175732608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low"/>
        <c:crossAx val="175734144"/>
        <c:crosses val="autoZero"/>
        <c:auto val="1"/>
        <c:lblAlgn val="ctr"/>
        <c:lblOffset val="100"/>
        <c:tickLblSkip val="3"/>
        <c:tickMarkSkip val="1"/>
        <c:noMultiLvlLbl val="0"/>
      </c:catAx>
      <c:valAx>
        <c:axId val="17573414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$ thousands</a:t>
                </a:r>
              </a:p>
            </c:rich>
          </c:tx>
          <c:overlay val="0"/>
        </c:title>
        <c:numFmt formatCode="#,##0_);\(#,##0\)" sourceLinked="1"/>
        <c:majorTickMark val="out"/>
        <c:minorTickMark val="none"/>
        <c:tickLblPos val="nextTo"/>
        <c:crossAx val="175732608"/>
        <c:crosses val="autoZero"/>
        <c:crossBetween val="between"/>
      </c:valAx>
      <c:spPr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:spPr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0211" l="0.70000000000000062" r="0.70000000000000062" t="0.75000000000000211" header="0.30000000000000032" footer="0.30000000000000032"/>
    <c:pageSetup orientation="landscape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Creekmoor POA</a:t>
            </a:r>
          </a:p>
          <a:p>
            <a:pPr>
              <a:defRPr/>
            </a:pPr>
            <a:r>
              <a:rPr lang="en-US" sz="1400" baseline="0">
                <a:solidFill>
                  <a:srgbClr val="010DFF"/>
                </a:solidFill>
              </a:rPr>
              <a:t>Loan Balance Forecast</a:t>
            </a:r>
          </a:p>
        </c:rich>
      </c:tx>
      <c:layout>
        <c:manualLayout>
          <c:xMode val="edge"/>
          <c:yMode val="edge"/>
          <c:x val="0.39316786810099558"/>
          <c:y val="2.956825656180833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1356756549346265E-2"/>
          <c:y val="0.21074088703306623"/>
          <c:w val="0.74953304560112066"/>
          <c:h val="0.70983913953104794"/>
        </c:manualLayout>
      </c:layout>
      <c:lineChart>
        <c:grouping val="standard"/>
        <c:varyColors val="0"/>
        <c:ser>
          <c:idx val="0"/>
          <c:order val="0"/>
          <c:tx>
            <c:v>WC Loan</c:v>
          </c:tx>
          <c:marker>
            <c:symbol val="none"/>
          </c:marker>
          <c:cat>
            <c:numRef>
              <c:f>'2017 Budget'!$C$3:$AC$3</c:f>
              <c:numCache>
                <c:formatCode>General</c:formatCode>
                <c:ptCount val="2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  <c:pt idx="22">
                  <c:v>2034</c:v>
                </c:pt>
                <c:pt idx="23">
                  <c:v>2035</c:v>
                </c:pt>
              </c:numCache>
            </c:numRef>
          </c:cat>
          <c:val>
            <c:numRef>
              <c:f>'2017 Budget'!$C$44:$AC$44</c:f>
              <c:numCache>
                <c:formatCode>_(* #,##0_);_(* \(#,##0\);_(* "-"??_);_(@_)</c:formatCode>
                <c:ptCount val="24"/>
                <c:pt idx="0">
                  <c:v>6332</c:v>
                </c:pt>
                <c:pt idx="1">
                  <c:v>6730</c:v>
                </c:pt>
                <c:pt idx="2" formatCode="#,##0_);[Red]\(#,##0\)">
                  <c:v>7254</c:v>
                </c:pt>
                <c:pt idx="3" formatCode="#,##0_);[Red]\(#,##0\)">
                  <c:v>7842</c:v>
                </c:pt>
                <c:pt idx="4" formatCode="#,##0_);[Red]\(#,##0\)">
                  <c:v>8294</c:v>
                </c:pt>
                <c:pt idx="5" formatCode="#,##0_);[Red]\(#,##0\)">
                  <c:v>8666</c:v>
                </c:pt>
                <c:pt idx="6" formatCode="#,##0_);[Red]\(#,##0\)">
                  <c:v>9073.3491266874989</c:v>
                </c:pt>
                <c:pt idx="7" formatCode="#,##0_);[Red]\(#,##0\)">
                  <c:v>9424.4031211139827</c:v>
                </c:pt>
                <c:pt idx="8" formatCode="#,##0_);[Red]\(#,##0\)">
                  <c:v>9711.6629600153919</c:v>
                </c:pt>
                <c:pt idx="9" formatCode="#,##0_);[Red]\(#,##0\)">
                  <c:v>9926.993834451685</c:v>
                </c:pt>
                <c:pt idx="10" formatCode="#,##0_);[Red]\(#,##0\)">
                  <c:v>10061.579486986751</c:v>
                </c:pt>
                <c:pt idx="11" formatCode="#,##0_);[Red]\(#,##0\)">
                  <c:v>10105.873546261317</c:v>
                </c:pt>
                <c:pt idx="12" formatCode="#,##0_);[Red]\(#,##0\)">
                  <c:v>10049.547672071039</c:v>
                </c:pt>
                <c:pt idx="13" formatCode="#,##0_);[Red]\(#,##0\)">
                  <c:v>9881.4363128568511</c:v>
                </c:pt>
                <c:pt idx="14" formatCode="#,##0_);[Red]\(#,##0\)">
                  <c:v>9589.4778656555973</c:v>
                </c:pt>
                <c:pt idx="15" formatCode="#,##0_);[Red]\(#,##0\)">
                  <c:v>9160.6520160086802</c:v>
                </c:pt>
                <c:pt idx="16" formatCode="#,##0_);[Red]\(#,##0\)">
                  <c:v>8580.9130220453681</c:v>
                </c:pt>
                <c:pt idx="17" formatCode="#,##0_);[Red]\(#,##0\)">
                  <c:v>7835.1186929037931</c:v>
                </c:pt>
                <c:pt idx="18" formatCode="#,##0_);[Red]\(#,##0\)">
                  <c:v>6906.9547967825383</c:v>
                </c:pt>
                <c:pt idx="19" formatCode="#,##0_);[Red]\(#,##0\)">
                  <c:v>5776.8383681824735</c:v>
                </c:pt>
                <c:pt idx="20" formatCode="#,##0_);[Red]\(#,##0\)">
                  <c:v>4425.7990891280169</c:v>
                </c:pt>
                <c:pt idx="21" formatCode="#,##0_);[Red]\(#,##0\)">
                  <c:v>2833.4353843833469</c:v>
                </c:pt>
                <c:pt idx="22" formatCode="#,##0_);[Red]\(#,##0\)">
                  <c:v>975.63731233453836</c:v>
                </c:pt>
                <c:pt idx="23" formatCode="#,##0_);[Red]\(#,##0\)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74-4D23-92F3-53D73537E80E}"/>
            </c:ext>
          </c:extLst>
        </c:ser>
        <c:ser>
          <c:idx val="1"/>
          <c:order val="1"/>
          <c:tx>
            <c:v>Infr. Loan</c:v>
          </c:tx>
          <c:spPr>
            <a:ln>
              <a:solidFill>
                <a:srgbClr val="FF0000"/>
              </a:solidFill>
            </a:ln>
          </c:spPr>
          <c:marker>
            <c:symbol val="none"/>
          </c:marker>
          <c:cat>
            <c:numRef>
              <c:f>'2017 Budget'!$C$3:$AC$3</c:f>
              <c:numCache>
                <c:formatCode>General</c:formatCode>
                <c:ptCount val="2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  <c:pt idx="22">
                  <c:v>2034</c:v>
                </c:pt>
                <c:pt idx="23">
                  <c:v>2035</c:v>
                </c:pt>
              </c:numCache>
            </c:numRef>
          </c:cat>
          <c:val>
            <c:numRef>
              <c:f>'2017 Budget'!$C$45:$AC$45</c:f>
              <c:numCache>
                <c:formatCode>_(* #,##0_);_(* \(#,##0\);_(* "-"??_);_(@_)</c:formatCode>
                <c:ptCount val="24"/>
                <c:pt idx="0">
                  <c:v>5144</c:v>
                </c:pt>
                <c:pt idx="1">
                  <c:v>5444</c:v>
                </c:pt>
                <c:pt idx="2">
                  <c:v>6424</c:v>
                </c:pt>
                <c:pt idx="3">
                  <c:v>6773</c:v>
                </c:pt>
                <c:pt idx="4">
                  <c:v>7482</c:v>
                </c:pt>
                <c:pt idx="5">
                  <c:v>7500</c:v>
                </c:pt>
                <c:pt idx="6">
                  <c:v>7500</c:v>
                </c:pt>
                <c:pt idx="7">
                  <c:v>7500</c:v>
                </c:pt>
                <c:pt idx="8">
                  <c:v>7500</c:v>
                </c:pt>
                <c:pt idx="9">
                  <c:v>7500</c:v>
                </c:pt>
                <c:pt idx="10">
                  <c:v>7500</c:v>
                </c:pt>
                <c:pt idx="11">
                  <c:v>7500</c:v>
                </c:pt>
                <c:pt idx="12">
                  <c:v>7500</c:v>
                </c:pt>
                <c:pt idx="13">
                  <c:v>7500</c:v>
                </c:pt>
                <c:pt idx="14">
                  <c:v>7500</c:v>
                </c:pt>
                <c:pt idx="15">
                  <c:v>7500</c:v>
                </c:pt>
                <c:pt idx="16">
                  <c:v>7500</c:v>
                </c:pt>
                <c:pt idx="17">
                  <c:v>7500</c:v>
                </c:pt>
                <c:pt idx="18">
                  <c:v>7500</c:v>
                </c:pt>
                <c:pt idx="19">
                  <c:v>7500</c:v>
                </c:pt>
                <c:pt idx="20">
                  <c:v>7500</c:v>
                </c:pt>
                <c:pt idx="21">
                  <c:v>7500</c:v>
                </c:pt>
                <c:pt idx="22">
                  <c:v>7500</c:v>
                </c:pt>
                <c:pt idx="23">
                  <c:v>6394.150407102512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74-4D23-92F3-53D73537E8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5953024"/>
        <c:axId val="175954560"/>
      </c:lineChart>
      <c:catAx>
        <c:axId val="17595302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crossAx val="175954560"/>
        <c:crosses val="autoZero"/>
        <c:auto val="1"/>
        <c:lblAlgn val="ctr"/>
        <c:lblOffset val="100"/>
        <c:tickLblSkip val="3"/>
        <c:tickMarkSkip val="1"/>
        <c:noMultiLvlLbl val="0"/>
      </c:catAx>
      <c:valAx>
        <c:axId val="17595456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$ thousands</a:t>
                </a:r>
              </a:p>
            </c:rich>
          </c:tx>
          <c:overlay val="0"/>
        </c:title>
        <c:numFmt formatCode="_(* #,##0_);_(* \(#,##0\);_(* &quot;-&quot;??_);_(@_)" sourceLinked="1"/>
        <c:majorTickMark val="out"/>
        <c:minorTickMark val="none"/>
        <c:tickLblPos val="nextTo"/>
        <c:crossAx val="175953024"/>
        <c:crosses val="autoZero"/>
        <c:crossBetween val="between"/>
      </c:valAx>
      <c:spPr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:spPr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0211" l="0.70000000000000062" r="0.70000000000000062" t="0.75000000000000211" header="0.30000000000000032" footer="0.30000000000000032"/>
    <c:pageSetup orientation="landscape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Creekmoor POA</a:t>
            </a:r>
          </a:p>
          <a:p>
            <a:pPr>
              <a:defRPr/>
            </a:pPr>
            <a:r>
              <a:rPr lang="en-US" sz="1400" baseline="0">
                <a:solidFill>
                  <a:srgbClr val="010DFF"/>
                </a:solidFill>
              </a:rPr>
              <a:t>EBITDA, Golf vs. Non-Golf Operations</a:t>
            </a:r>
          </a:p>
        </c:rich>
      </c:tx>
      <c:layout>
        <c:manualLayout>
          <c:xMode val="edge"/>
          <c:yMode val="edge"/>
          <c:x val="0.25676391203978155"/>
          <c:y val="3.635485804198102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1356756549346265E-2"/>
          <c:y val="0.21074088703306623"/>
          <c:w val="0.74953304560112066"/>
          <c:h val="0.70983913953104794"/>
        </c:manualLayout>
      </c:layout>
      <c:lineChart>
        <c:grouping val="standard"/>
        <c:varyColors val="0"/>
        <c:ser>
          <c:idx val="0"/>
          <c:order val="0"/>
          <c:tx>
            <c:v>Non-Golf Ops.</c:v>
          </c:tx>
          <c:marker>
            <c:symbol val="none"/>
          </c:marker>
          <c:cat>
            <c:numRef>
              <c:f>'2017 Budget'!$C$3:$AC$3</c:f>
              <c:numCache>
                <c:formatCode>General</c:formatCode>
                <c:ptCount val="2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  <c:pt idx="22">
                  <c:v>2034</c:v>
                </c:pt>
                <c:pt idx="23">
                  <c:v>2035</c:v>
                </c:pt>
              </c:numCache>
            </c:numRef>
          </c:cat>
          <c:val>
            <c:numRef>
              <c:f>'2017 Budget'!$C$74:$AC$74</c:f>
              <c:numCache>
                <c:formatCode>#,##0_);\(#,##0\)</c:formatCode>
                <c:ptCount val="24"/>
                <c:pt idx="0">
                  <c:v>-173</c:v>
                </c:pt>
                <c:pt idx="1">
                  <c:v>-161</c:v>
                </c:pt>
                <c:pt idx="2">
                  <c:v>-122</c:v>
                </c:pt>
                <c:pt idx="3">
                  <c:v>-143</c:v>
                </c:pt>
                <c:pt idx="4">
                  <c:v>-38</c:v>
                </c:pt>
                <c:pt idx="5">
                  <c:v>36</c:v>
                </c:pt>
                <c:pt idx="6">
                  <c:v>68.766050000000121</c:v>
                </c:pt>
                <c:pt idx="7">
                  <c:v>126.63066943750013</c:v>
                </c:pt>
                <c:pt idx="8">
                  <c:v>189.81012772489041</c:v>
                </c:pt>
                <c:pt idx="9">
                  <c:v>258.68362462383487</c:v>
                </c:pt>
                <c:pt idx="10">
                  <c:v>333.65479497010801</c:v>
                </c:pt>
                <c:pt idx="11">
                  <c:v>415.15319883282365</c:v>
                </c:pt>
                <c:pt idx="12">
                  <c:v>503.63589944566542</c:v>
                </c:pt>
                <c:pt idx="13">
                  <c:v>599.58913395678303</c:v>
                </c:pt>
                <c:pt idx="14">
                  <c:v>703.53008232901709</c:v>
                </c:pt>
                <c:pt idx="15">
                  <c:v>816.00874002305568</c:v>
                </c:pt>
                <c:pt idx="16">
                  <c:v>937.60990041376954</c:v>
                </c:pt>
                <c:pt idx="17">
                  <c:v>1068.9552532253331</c:v>
                </c:pt>
                <c:pt idx="18">
                  <c:v>1210.7056056247263</c:v>
                </c:pt>
                <c:pt idx="19">
                  <c:v>1365.5632329868488</c:v>
                </c:pt>
                <c:pt idx="20">
                  <c:v>1532.2743667389514</c:v>
                </c:pt>
                <c:pt idx="21">
                  <c:v>1711.6318271083439</c:v>
                </c:pt>
                <c:pt idx="22">
                  <c:v>1906.6231381822677</c:v>
                </c:pt>
                <c:pt idx="23">
                  <c:v>2068.9075135369453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779-4554-99F1-F0DFC881CAC6}"/>
            </c:ext>
          </c:extLst>
        </c:ser>
        <c:ser>
          <c:idx val="1"/>
          <c:order val="1"/>
          <c:tx>
            <c:v>Golf Ops.</c:v>
          </c:tx>
          <c:marker>
            <c:symbol val="none"/>
          </c:marker>
          <c:cat>
            <c:numRef>
              <c:f>'2017 Budget'!$C$3:$AC$3</c:f>
              <c:numCache>
                <c:formatCode>General</c:formatCode>
                <c:ptCount val="2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  <c:pt idx="22">
                  <c:v>2034</c:v>
                </c:pt>
                <c:pt idx="23">
                  <c:v>2035</c:v>
                </c:pt>
              </c:numCache>
            </c:numRef>
          </c:cat>
          <c:val>
            <c:numRef>
              <c:f>'2017 Budget'!$C$75:$AC$75</c:f>
              <c:numCache>
                <c:formatCode>#,##0_);\(#,##0\)</c:formatCode>
                <c:ptCount val="24"/>
                <c:pt idx="0">
                  <c:v>-83</c:v>
                </c:pt>
                <c:pt idx="1">
                  <c:v>-73</c:v>
                </c:pt>
                <c:pt idx="2">
                  <c:v>-101</c:v>
                </c:pt>
                <c:pt idx="3">
                  <c:v>-162</c:v>
                </c:pt>
                <c:pt idx="4">
                  <c:v>-164</c:v>
                </c:pt>
                <c:pt idx="5">
                  <c:v>-188</c:v>
                </c:pt>
                <c:pt idx="6">
                  <c:v>-177.7</c:v>
                </c:pt>
                <c:pt idx="7">
                  <c:v>-167.14250000000001</c:v>
                </c:pt>
                <c:pt idx="8">
                  <c:v>-156.3210624999999</c:v>
                </c:pt>
                <c:pt idx="9">
                  <c:v>-145.2290890624999</c:v>
                </c:pt>
                <c:pt idx="10">
                  <c:v>-133.85981628906234</c:v>
                </c:pt>
                <c:pt idx="11">
                  <c:v>-122.20631169628888</c:v>
                </c:pt>
                <c:pt idx="12">
                  <c:v>-110.26146948869604</c:v>
                </c:pt>
                <c:pt idx="13">
                  <c:v>-98.018006225913382</c:v>
                </c:pt>
                <c:pt idx="14">
                  <c:v>-85.468456381561168</c:v>
                </c:pt>
                <c:pt idx="15">
                  <c:v>-72.605167791100257</c:v>
                </c:pt>
                <c:pt idx="16">
                  <c:v>-59.420296985877712</c:v>
                </c:pt>
                <c:pt idx="17">
                  <c:v>-45.905804410524524</c:v>
                </c:pt>
                <c:pt idx="18">
                  <c:v>-32.053449520787581</c:v>
                </c:pt>
                <c:pt idx="19">
                  <c:v>-17.854785758807111</c:v>
                </c:pt>
                <c:pt idx="20">
                  <c:v>-3.3011554027771126</c:v>
                </c:pt>
                <c:pt idx="21">
                  <c:v>11.616315712153437</c:v>
                </c:pt>
                <c:pt idx="22">
                  <c:v>26.906723604957278</c:v>
                </c:pt>
                <c:pt idx="23">
                  <c:v>27.579391695081085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779-4554-99F1-F0DFC881CA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5862144"/>
        <c:axId val="175863680"/>
      </c:lineChart>
      <c:catAx>
        <c:axId val="17586214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low"/>
        <c:crossAx val="175863680"/>
        <c:crosses val="autoZero"/>
        <c:auto val="1"/>
        <c:lblAlgn val="ctr"/>
        <c:lblOffset val="100"/>
        <c:tickLblSkip val="3"/>
        <c:tickMarkSkip val="1"/>
        <c:noMultiLvlLbl val="0"/>
      </c:catAx>
      <c:valAx>
        <c:axId val="17586368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$ thousands</a:t>
                </a:r>
              </a:p>
            </c:rich>
          </c:tx>
          <c:overlay val="0"/>
        </c:title>
        <c:numFmt formatCode="#,##0_);\(#,##0\)" sourceLinked="1"/>
        <c:majorTickMark val="out"/>
        <c:minorTickMark val="none"/>
        <c:tickLblPos val="nextTo"/>
        <c:crossAx val="175862144"/>
        <c:crosses val="autoZero"/>
        <c:crossBetween val="between"/>
      </c:valAx>
      <c:spPr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:spPr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0211" l="0.70000000000000062" r="0.70000000000000062" t="0.75000000000000211" header="0.30000000000000032" footer="0.30000000000000032"/>
    <c:pageSetup orientation="landscape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Creekmoor POA</a:t>
            </a:r>
          </a:p>
          <a:p>
            <a:pPr>
              <a:defRPr/>
            </a:pPr>
            <a:r>
              <a:rPr lang="en-US" sz="1400" baseline="0">
                <a:solidFill>
                  <a:srgbClr val="010DFF"/>
                </a:solidFill>
              </a:rPr>
              <a:t>Loan Balance Forecast</a:t>
            </a:r>
          </a:p>
        </c:rich>
      </c:tx>
      <c:layout>
        <c:manualLayout>
          <c:xMode val="edge"/>
          <c:yMode val="edge"/>
          <c:x val="0.39316786810099558"/>
          <c:y val="2.956825656180833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1356756549346265E-2"/>
          <c:y val="0.21074088703306623"/>
          <c:w val="0.74953304560112066"/>
          <c:h val="0.70983913953104794"/>
        </c:manualLayout>
      </c:layout>
      <c:lineChart>
        <c:grouping val="standard"/>
        <c:varyColors val="0"/>
        <c:ser>
          <c:idx val="1"/>
          <c:order val="0"/>
          <c:tx>
            <c:v>WC Loan</c:v>
          </c:tx>
          <c:spPr>
            <a:ln>
              <a:solidFill>
                <a:srgbClr val="FF0000"/>
              </a:solidFill>
            </a:ln>
          </c:spPr>
          <c:marker>
            <c:symbol val="none"/>
          </c:marker>
          <c:cat>
            <c:numRef>
              <c:f>'2018 Budget'!$F$3:$AC$3</c:f>
              <c:numCache>
                <c:formatCode>General</c:formatCode>
                <c:ptCount val="2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  <c:pt idx="22">
                  <c:v>2034</c:v>
                </c:pt>
                <c:pt idx="23">
                  <c:v>2035</c:v>
                </c:pt>
              </c:numCache>
            </c:numRef>
          </c:cat>
          <c:val>
            <c:numRef>
              <c:f>'2018 Budget'!$C$44:$AC$44</c:f>
              <c:numCache>
                <c:formatCode>_(* #,##0_);_(* \(#,##0\);_(* "-"??_);_(@_)</c:formatCode>
                <c:ptCount val="24"/>
                <c:pt idx="0">
                  <c:v>6332</c:v>
                </c:pt>
                <c:pt idx="1">
                  <c:v>6730</c:v>
                </c:pt>
                <c:pt idx="2" formatCode="#,##0_);[Red]\(#,##0\)">
                  <c:v>7254</c:v>
                </c:pt>
                <c:pt idx="3" formatCode="#,##0_);[Red]\(#,##0\)">
                  <c:v>7842</c:v>
                </c:pt>
                <c:pt idx="4" formatCode="#,##0_);[Red]\(#,##0\)">
                  <c:v>8294</c:v>
                </c:pt>
                <c:pt idx="5" formatCode="#,##0_);[Red]\(#,##0\)">
                  <c:v>8790</c:v>
                </c:pt>
                <c:pt idx="6" formatCode="#,##0_);[Red]\(#,##0\)">
                  <c:v>9069.5499999999993</c:v>
                </c:pt>
                <c:pt idx="7" formatCode="#,##0_);[Red]\(#,##0\)">
                  <c:v>9288.5320144999987</c:v>
                </c:pt>
                <c:pt idx="8" formatCode="#,##0_);[Red]\(#,##0\)">
                  <c:v>9440.9490745264829</c:v>
                </c:pt>
                <c:pt idx="9" formatCode="#,##0_);[Red]\(#,##0\)">
                  <c:v>9518.6005144568007</c:v>
                </c:pt>
                <c:pt idx="10" formatCode="#,##0_);[Red]\(#,##0\)">
                  <c:v>9512.6019563063946</c:v>
                </c:pt>
                <c:pt idx="11" formatCode="#,##0_);[Red]\(#,##0\)">
                  <c:v>9413.3365296083721</c:v>
                </c:pt>
                <c:pt idx="12" formatCode="#,##0_);[Red]\(#,##0\)">
                  <c:v>9220.5653950718042</c:v>
                </c:pt>
                <c:pt idx="13" formatCode="#,##0_);[Red]\(#,##0\)">
                  <c:v>8923.631717280834</c:v>
                </c:pt>
                <c:pt idx="14" formatCode="#,##0_);[Red]\(#,##0\)">
                  <c:v>8511.0051875495847</c:v>
                </c:pt>
                <c:pt idx="15" formatCode="#,##0_);[Red]\(#,##0\)">
                  <c:v>7970.2202021987168</c:v>
                </c:pt>
                <c:pt idx="16" formatCode="#,##0_);[Red]\(#,##0\)">
                  <c:v>7287.8100124592938</c:v>
                </c:pt>
                <c:pt idx="17" formatCode="#,##0_);[Red]\(#,##0\)">
                  <c:v>6449.2365969406264</c:v>
                </c:pt>
                <c:pt idx="18" formatCode="#,##0_);[Red]\(#,##0\)">
                  <c:v>5438.8159927444431</c:v>
                </c:pt>
                <c:pt idx="19" formatCode="#,##0_);[Red]\(#,##0\)">
                  <c:v>4237.6225555903429</c:v>
                </c:pt>
                <c:pt idx="20" formatCode="#,##0_);[Red]\(#,##0\)">
                  <c:v>2827.371324562785</c:v>
                </c:pt>
                <c:pt idx="21" formatCode="#,##0_);[Red]\(#,##0\)">
                  <c:v>1228.9041126399375</c:v>
                </c:pt>
                <c:pt idx="22" formatCode="#,##0_);[Red]\(#,##0\)">
                  <c:v>0</c:v>
                </c:pt>
                <c:pt idx="23" formatCode="#,##0_);[Red]\(#,##0\)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9F5-435F-B769-36877F2D4C60}"/>
            </c:ext>
          </c:extLst>
        </c:ser>
        <c:ser>
          <c:idx val="2"/>
          <c:order val="1"/>
          <c:tx>
            <c:v>INFR LOAN</c:v>
          </c:tx>
          <c:spPr>
            <a:ln>
              <a:solidFill>
                <a:srgbClr val="010DFF"/>
              </a:solidFill>
            </a:ln>
          </c:spPr>
          <c:marker>
            <c:symbol val="none"/>
          </c:marker>
          <c:cat>
            <c:numRef>
              <c:f>'2018 Budget'!$F$3:$AC$3</c:f>
              <c:numCache>
                <c:formatCode>General</c:formatCode>
                <c:ptCount val="2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  <c:pt idx="22">
                  <c:v>2034</c:v>
                </c:pt>
                <c:pt idx="23">
                  <c:v>2035</c:v>
                </c:pt>
              </c:numCache>
            </c:numRef>
          </c:cat>
          <c:val>
            <c:numRef>
              <c:f>'2018 Budget'!$C$45:$AC$45</c:f>
              <c:numCache>
                <c:formatCode>_(* #,##0_);_(* \(#,##0\);_(* "-"??_);_(@_)</c:formatCode>
                <c:ptCount val="24"/>
                <c:pt idx="0">
                  <c:v>5144</c:v>
                </c:pt>
                <c:pt idx="1">
                  <c:v>5444</c:v>
                </c:pt>
                <c:pt idx="2">
                  <c:v>6424</c:v>
                </c:pt>
                <c:pt idx="3">
                  <c:v>6773</c:v>
                </c:pt>
                <c:pt idx="4">
                  <c:v>7482</c:v>
                </c:pt>
                <c:pt idx="5">
                  <c:v>7500</c:v>
                </c:pt>
                <c:pt idx="6">
                  <c:v>7500</c:v>
                </c:pt>
                <c:pt idx="7">
                  <c:v>7500</c:v>
                </c:pt>
                <c:pt idx="8">
                  <c:v>7500</c:v>
                </c:pt>
                <c:pt idx="9">
                  <c:v>7500</c:v>
                </c:pt>
                <c:pt idx="10">
                  <c:v>7500</c:v>
                </c:pt>
                <c:pt idx="11">
                  <c:v>7500</c:v>
                </c:pt>
                <c:pt idx="12">
                  <c:v>7500</c:v>
                </c:pt>
                <c:pt idx="13">
                  <c:v>7500</c:v>
                </c:pt>
                <c:pt idx="14">
                  <c:v>7500</c:v>
                </c:pt>
                <c:pt idx="15">
                  <c:v>7500</c:v>
                </c:pt>
                <c:pt idx="16">
                  <c:v>7500</c:v>
                </c:pt>
                <c:pt idx="17">
                  <c:v>7500</c:v>
                </c:pt>
                <c:pt idx="18">
                  <c:v>7500</c:v>
                </c:pt>
                <c:pt idx="19">
                  <c:v>7500</c:v>
                </c:pt>
                <c:pt idx="20">
                  <c:v>7500</c:v>
                </c:pt>
                <c:pt idx="21">
                  <c:v>7500</c:v>
                </c:pt>
                <c:pt idx="22">
                  <c:v>6971.8433013895683</c:v>
                </c:pt>
                <c:pt idx="23">
                  <c:v>5139.4442224252725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9F5-435F-B769-36877F2D4C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5953024"/>
        <c:axId val="175954560"/>
      </c:lineChart>
      <c:catAx>
        <c:axId val="17595302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crossAx val="175954560"/>
        <c:crosses val="autoZero"/>
        <c:auto val="1"/>
        <c:lblAlgn val="ctr"/>
        <c:lblOffset val="100"/>
        <c:tickLblSkip val="3"/>
        <c:tickMarkSkip val="1"/>
        <c:noMultiLvlLbl val="0"/>
      </c:catAx>
      <c:valAx>
        <c:axId val="17595456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$ thousands</a:t>
                </a:r>
              </a:p>
            </c:rich>
          </c:tx>
          <c:overlay val="0"/>
        </c:title>
        <c:numFmt formatCode="_(* #,##0_);_(* \(#,##0\);_(* &quot;-&quot;??_);_(@_)" sourceLinked="1"/>
        <c:majorTickMark val="out"/>
        <c:minorTickMark val="none"/>
        <c:tickLblPos val="nextTo"/>
        <c:crossAx val="175953024"/>
        <c:crosses val="autoZero"/>
        <c:crossBetween val="between"/>
      </c:valAx>
      <c:spPr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:spPr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0211" l="0.70000000000000062" r="0.70000000000000062" t="0.75000000000000211" header="0.30000000000000032" footer="0.30000000000000032"/>
    <c:pageSetup orientation="landscape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Creekmoor POA</a:t>
            </a:r>
          </a:p>
          <a:p>
            <a:pPr>
              <a:defRPr/>
            </a:pPr>
            <a:r>
              <a:rPr lang="en-US" sz="1400" baseline="0">
                <a:solidFill>
                  <a:srgbClr val="010DFF"/>
                </a:solidFill>
              </a:rPr>
              <a:t>EBITDA, Golf vs. Non-Golf Operations</a:t>
            </a:r>
          </a:p>
        </c:rich>
      </c:tx>
      <c:layout>
        <c:manualLayout>
          <c:xMode val="edge"/>
          <c:yMode val="edge"/>
          <c:x val="0.25676391203978155"/>
          <c:y val="3.635485804198102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1356756549346265E-2"/>
          <c:y val="0.21074088703306623"/>
          <c:w val="0.74953304560112066"/>
          <c:h val="0.70983913953104794"/>
        </c:manualLayout>
      </c:layout>
      <c:lineChart>
        <c:grouping val="standard"/>
        <c:varyColors val="0"/>
        <c:ser>
          <c:idx val="1"/>
          <c:order val="0"/>
          <c:tx>
            <c:v>Non Golf OPS</c:v>
          </c:tx>
          <c:marker>
            <c:symbol val="none"/>
          </c:marker>
          <c:cat>
            <c:numRef>
              <c:f>'2018 Budget'!$F$3:$AC$3</c:f>
              <c:numCache>
                <c:formatCode>General</c:formatCode>
                <c:ptCount val="2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  <c:pt idx="22">
                  <c:v>2034</c:v>
                </c:pt>
                <c:pt idx="23">
                  <c:v>2035</c:v>
                </c:pt>
              </c:numCache>
            </c:numRef>
          </c:cat>
          <c:val>
            <c:numRef>
              <c:f>'2018 Budget'!$C$74:$AC$74</c:f>
              <c:numCache>
                <c:formatCode>#,##0_);\(#,##0\)</c:formatCode>
                <c:ptCount val="24"/>
                <c:pt idx="0">
                  <c:v>-173</c:v>
                </c:pt>
                <c:pt idx="1">
                  <c:v>-161</c:v>
                </c:pt>
                <c:pt idx="2">
                  <c:v>-122</c:v>
                </c:pt>
                <c:pt idx="3">
                  <c:v>-143</c:v>
                </c:pt>
                <c:pt idx="4">
                  <c:v>-38</c:v>
                </c:pt>
                <c:pt idx="5">
                  <c:v>65</c:v>
                </c:pt>
                <c:pt idx="6">
                  <c:v>89.450000000000045</c:v>
                </c:pt>
                <c:pt idx="7">
                  <c:v>153.12680000000023</c:v>
                </c:pt>
                <c:pt idx="8">
                  <c:v>217.22548506250033</c:v>
                </c:pt>
                <c:pt idx="9">
                  <c:v>287.05481226129723</c:v>
                </c:pt>
                <c:pt idx="10">
                  <c:v>363.02004825409108</c:v>
                </c:pt>
                <c:pt idx="11">
                  <c:v>445.55246314897676</c:v>
                </c:pt>
                <c:pt idx="12">
                  <c:v>535.11091233056504</c:v>
                </c:pt>
                <c:pt idx="13">
                  <c:v>632.18351130192286</c:v>
                </c:pt>
                <c:pt idx="14">
                  <c:v>737.2894088840294</c:v>
                </c:pt>
                <c:pt idx="15">
                  <c:v>850.98066441587832</c:v>
                </c:pt>
                <c:pt idx="16">
                  <c:v>973.84423491655434</c:v>
                </c:pt>
                <c:pt idx="17">
                  <c:v>1106.5040785065073</c:v>
                </c:pt>
                <c:pt idx="18">
                  <c:v>1249.6233807398414</c:v>
                </c:pt>
                <c:pt idx="19">
                  <c:v>1405.9069108737099</c:v>
                </c:pt>
                <c:pt idx="20">
                  <c:v>1574.1035154959748</c:v>
                </c:pt>
                <c:pt idx="21">
                  <c:v>1715.127841916991</c:v>
                </c:pt>
                <c:pt idx="22">
                  <c:v>1821.0068022362566</c:v>
                </c:pt>
                <c:pt idx="23">
                  <c:v>1886.2638189967338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DA5-4B73-89B0-3FE6834E876B}"/>
            </c:ext>
          </c:extLst>
        </c:ser>
        <c:ser>
          <c:idx val="2"/>
          <c:order val="1"/>
          <c:tx>
            <c:v>Golf Ops</c:v>
          </c:tx>
          <c:spPr>
            <a:ln>
              <a:solidFill>
                <a:srgbClr val="010DFF"/>
              </a:solidFill>
            </a:ln>
          </c:spPr>
          <c:marker>
            <c:symbol val="none"/>
          </c:marker>
          <c:cat>
            <c:numRef>
              <c:f>'2018 Budget'!$F$3:$AC$3</c:f>
              <c:numCache>
                <c:formatCode>General</c:formatCode>
                <c:ptCount val="24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  <c:pt idx="22">
                  <c:v>2034</c:v>
                </c:pt>
                <c:pt idx="23">
                  <c:v>2035</c:v>
                </c:pt>
              </c:numCache>
            </c:numRef>
          </c:cat>
          <c:val>
            <c:numRef>
              <c:f>'2018 Budget'!$C$75:$AC$75</c:f>
              <c:numCache>
                <c:formatCode>#,##0_);\(#,##0\)</c:formatCode>
                <c:ptCount val="24"/>
                <c:pt idx="0">
                  <c:v>-83</c:v>
                </c:pt>
                <c:pt idx="1">
                  <c:v>-73</c:v>
                </c:pt>
                <c:pt idx="2">
                  <c:v>-101</c:v>
                </c:pt>
                <c:pt idx="3">
                  <c:v>-162</c:v>
                </c:pt>
                <c:pt idx="4">
                  <c:v>-164</c:v>
                </c:pt>
                <c:pt idx="5">
                  <c:v>-232</c:v>
                </c:pt>
                <c:pt idx="6">
                  <c:v>-72</c:v>
                </c:pt>
                <c:pt idx="7">
                  <c:v>-63.799999999999955</c:v>
                </c:pt>
                <c:pt idx="8">
                  <c:v>-55.394999999999897</c:v>
                </c:pt>
                <c:pt idx="9">
                  <c:v>-46.779874999999947</c:v>
                </c:pt>
                <c:pt idx="10">
                  <c:v>-37.949371874999997</c:v>
                </c:pt>
                <c:pt idx="11">
                  <c:v>-28.898106171874986</c:v>
                </c:pt>
                <c:pt idx="12">
                  <c:v>-29.620558826171873</c:v>
                </c:pt>
                <c:pt idx="13">
                  <c:v>-30.361072796826193</c:v>
                </c:pt>
                <c:pt idx="14">
                  <c:v>-31.120099616746984</c:v>
                </c:pt>
                <c:pt idx="15">
                  <c:v>-31.898102107165528</c:v>
                </c:pt>
                <c:pt idx="16">
                  <c:v>-32.695554659844674</c:v>
                </c:pt>
                <c:pt idx="17">
                  <c:v>-33.512943526340905</c:v>
                </c:pt>
                <c:pt idx="18">
                  <c:v>-34.350767114499376</c:v>
                </c:pt>
                <c:pt idx="19">
                  <c:v>-35.209536292361918</c:v>
                </c:pt>
                <c:pt idx="20">
                  <c:v>-36.089774699670897</c:v>
                </c:pt>
                <c:pt idx="21">
                  <c:v>-36.992019067162573</c:v>
                </c:pt>
                <c:pt idx="22">
                  <c:v>-37.916819543841484</c:v>
                </c:pt>
                <c:pt idx="23">
                  <c:v>-38.864740032437567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DA5-4B73-89B0-3FE6834E87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5862144"/>
        <c:axId val="175863680"/>
      </c:lineChart>
      <c:catAx>
        <c:axId val="17586214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low"/>
        <c:crossAx val="175863680"/>
        <c:crosses val="autoZero"/>
        <c:auto val="1"/>
        <c:lblAlgn val="ctr"/>
        <c:lblOffset val="100"/>
        <c:tickLblSkip val="3"/>
        <c:tickMarkSkip val="1"/>
        <c:noMultiLvlLbl val="0"/>
      </c:catAx>
      <c:valAx>
        <c:axId val="17586368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$ thousands</a:t>
                </a:r>
              </a:p>
            </c:rich>
          </c:tx>
          <c:overlay val="0"/>
        </c:title>
        <c:numFmt formatCode="#,##0_);\(#,##0\)" sourceLinked="1"/>
        <c:majorTickMark val="out"/>
        <c:minorTickMark val="none"/>
        <c:tickLblPos val="nextTo"/>
        <c:crossAx val="175862144"/>
        <c:crosses val="autoZero"/>
        <c:crossBetween val="between"/>
      </c:valAx>
      <c:spPr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:spPr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0211" l="0.70000000000000062" r="0.70000000000000062" t="0.75000000000000211" header="0.30000000000000032" footer="0.30000000000000032"/>
    <c:pageSetup orientation="landscape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Creekmoor POA</a:t>
            </a:r>
          </a:p>
          <a:p>
            <a:pPr>
              <a:defRPr/>
            </a:pPr>
            <a:r>
              <a:rPr lang="en-US" sz="1400" baseline="0">
                <a:solidFill>
                  <a:srgbClr val="010DFF"/>
                </a:solidFill>
              </a:rPr>
              <a:t>Loan Balance Forecast</a:t>
            </a:r>
          </a:p>
        </c:rich>
      </c:tx>
      <c:layout>
        <c:manualLayout>
          <c:xMode val="edge"/>
          <c:yMode val="edge"/>
          <c:x val="0.39316786810099558"/>
          <c:y val="2.956825656180833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1356756549346265E-2"/>
          <c:y val="0.21074088703306623"/>
          <c:w val="0.74953304560112066"/>
          <c:h val="0.70983913953104794"/>
        </c:manualLayout>
      </c:layout>
      <c:lineChart>
        <c:grouping val="standard"/>
        <c:varyColors val="0"/>
        <c:ser>
          <c:idx val="1"/>
          <c:order val="0"/>
          <c:tx>
            <c:v>WC Loan</c:v>
          </c:tx>
          <c:spPr>
            <a:ln>
              <a:solidFill>
                <a:srgbClr val="FF0000"/>
              </a:solidFill>
            </a:ln>
          </c:spPr>
          <c:marker>
            <c:symbol val="none"/>
          </c:marker>
          <c:cat>
            <c:numRef>
              <c:f>'2019 Budget'!$F$3:$AH$3</c:f>
              <c:numCache>
                <c:formatCode>General</c:formatCode>
                <c:ptCount val="2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  <c:pt idx="12">
                  <c:v>2025</c:v>
                </c:pt>
                <c:pt idx="13">
                  <c:v>2026</c:v>
                </c:pt>
                <c:pt idx="14">
                  <c:v>2027</c:v>
                </c:pt>
                <c:pt idx="15">
                  <c:v>2028</c:v>
                </c:pt>
                <c:pt idx="16">
                  <c:v>2029</c:v>
                </c:pt>
                <c:pt idx="17">
                  <c:v>2030</c:v>
                </c:pt>
                <c:pt idx="18">
                  <c:v>2031</c:v>
                </c:pt>
                <c:pt idx="19">
                  <c:v>2032</c:v>
                </c:pt>
                <c:pt idx="20">
                  <c:v>2033</c:v>
                </c:pt>
                <c:pt idx="21">
                  <c:v>2034</c:v>
                </c:pt>
                <c:pt idx="22">
                  <c:v>2035</c:v>
                </c:pt>
                <c:pt idx="23">
                  <c:v>2036</c:v>
                </c:pt>
                <c:pt idx="24">
                  <c:v>2037</c:v>
                </c:pt>
                <c:pt idx="25">
                  <c:v>2038</c:v>
                </c:pt>
                <c:pt idx="26">
                  <c:v>2039</c:v>
                </c:pt>
                <c:pt idx="27">
                  <c:v>2040</c:v>
                </c:pt>
              </c:numCache>
            </c:numRef>
          </c:cat>
          <c:val>
            <c:numRef>
              <c:f>'2019 Budget'!$C$44:$AH$44</c:f>
              <c:numCache>
                <c:formatCode>#,##0_);[Red]\(#,##0\)</c:formatCode>
                <c:ptCount val="28"/>
                <c:pt idx="0" formatCode="_(* #,##0_);_(* \(#,##0\);_(* &quot;-&quot;??_);_(@_)">
                  <c:v>6730</c:v>
                </c:pt>
                <c:pt idx="1">
                  <c:v>7254</c:v>
                </c:pt>
                <c:pt idx="2">
                  <c:v>7842</c:v>
                </c:pt>
                <c:pt idx="3">
                  <c:v>8294</c:v>
                </c:pt>
                <c:pt idx="4">
                  <c:v>8790</c:v>
                </c:pt>
                <c:pt idx="5">
                  <c:v>9125</c:v>
                </c:pt>
                <c:pt idx="6">
                  <c:v>9353</c:v>
                </c:pt>
                <c:pt idx="7">
                  <c:v>9616.1694503125</c:v>
                </c:pt>
                <c:pt idx="8">
                  <c:v>9821.177806551641</c:v>
                </c:pt>
                <c:pt idx="9">
                  <c:v>9960.0140745651515</c:v>
                </c:pt>
                <c:pt idx="10">
                  <c:v>10023.972046865332</c:v>
                </c:pt>
                <c:pt idx="11">
                  <c:v>10003.599794050187</c:v>
                </c:pt>
                <c:pt idx="12">
                  <c:v>9888.6458176450942</c:v>
                </c:pt>
                <c:pt idx="13">
                  <c:v>9668.0016561490811</c:v>
                </c:pt>
                <c:pt idx="14">
                  <c:v>9329.6407235809074</c:v>
                </c:pt>
                <c:pt idx="15">
                  <c:v>8860.5531466026878</c:v>
                </c:pt>
                <c:pt idx="16">
                  <c:v>8246.6763523111713</c:v>
                </c:pt>
                <c:pt idx="17">
                  <c:v>7472.8211439850438</c:v>
                </c:pt>
                <c:pt idx="18">
                  <c:v>6522.5929864142563</c:v>
                </c:pt>
                <c:pt idx="19">
                  <c:v>5378.3082058654227</c:v>
                </c:pt>
                <c:pt idx="20">
                  <c:v>4058.3547395495125</c:v>
                </c:pt>
                <c:pt idx="21">
                  <c:v>2595.9282976582899</c:v>
                </c:pt>
                <c:pt idx="22">
                  <c:v>1027.8478593900688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A62-43C8-BAB2-80A8C81DA49B}"/>
            </c:ext>
          </c:extLst>
        </c:ser>
        <c:ser>
          <c:idx val="2"/>
          <c:order val="1"/>
          <c:tx>
            <c:v>INFR LOAN</c:v>
          </c:tx>
          <c:spPr>
            <a:ln>
              <a:solidFill>
                <a:srgbClr val="010DFF"/>
              </a:solidFill>
            </a:ln>
          </c:spPr>
          <c:marker>
            <c:symbol val="none"/>
          </c:marker>
          <c:cat>
            <c:numRef>
              <c:f>'2019 Budget'!$F$3:$AH$3</c:f>
              <c:numCache>
                <c:formatCode>General</c:formatCode>
                <c:ptCount val="2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  <c:pt idx="12">
                  <c:v>2025</c:v>
                </c:pt>
                <c:pt idx="13">
                  <c:v>2026</c:v>
                </c:pt>
                <c:pt idx="14">
                  <c:v>2027</c:v>
                </c:pt>
                <c:pt idx="15">
                  <c:v>2028</c:v>
                </c:pt>
                <c:pt idx="16">
                  <c:v>2029</c:v>
                </c:pt>
                <c:pt idx="17">
                  <c:v>2030</c:v>
                </c:pt>
                <c:pt idx="18">
                  <c:v>2031</c:v>
                </c:pt>
                <c:pt idx="19">
                  <c:v>2032</c:v>
                </c:pt>
                <c:pt idx="20">
                  <c:v>2033</c:v>
                </c:pt>
                <c:pt idx="21">
                  <c:v>2034</c:v>
                </c:pt>
                <c:pt idx="22">
                  <c:v>2035</c:v>
                </c:pt>
                <c:pt idx="23">
                  <c:v>2036</c:v>
                </c:pt>
                <c:pt idx="24">
                  <c:v>2037</c:v>
                </c:pt>
                <c:pt idx="25">
                  <c:v>2038</c:v>
                </c:pt>
                <c:pt idx="26">
                  <c:v>2039</c:v>
                </c:pt>
                <c:pt idx="27">
                  <c:v>2040</c:v>
                </c:pt>
              </c:numCache>
            </c:numRef>
          </c:cat>
          <c:val>
            <c:numRef>
              <c:f>'2019 Budget'!$C$45:$AH$45</c:f>
              <c:numCache>
                <c:formatCode>_(* #,##0_);_(* \(#,##0\);_(* "-"??_);_(@_)</c:formatCode>
                <c:ptCount val="28"/>
                <c:pt idx="0">
                  <c:v>5444</c:v>
                </c:pt>
                <c:pt idx="1">
                  <c:v>6424</c:v>
                </c:pt>
                <c:pt idx="2">
                  <c:v>6773</c:v>
                </c:pt>
                <c:pt idx="3">
                  <c:v>7482</c:v>
                </c:pt>
                <c:pt idx="4">
                  <c:v>7500</c:v>
                </c:pt>
                <c:pt idx="5">
                  <c:v>7500</c:v>
                </c:pt>
                <c:pt idx="6">
                  <c:v>7500</c:v>
                </c:pt>
                <c:pt idx="7">
                  <c:v>7500</c:v>
                </c:pt>
                <c:pt idx="8">
                  <c:v>7500</c:v>
                </c:pt>
                <c:pt idx="9">
                  <c:v>7500</c:v>
                </c:pt>
                <c:pt idx="10">
                  <c:v>7500</c:v>
                </c:pt>
                <c:pt idx="11">
                  <c:v>7500</c:v>
                </c:pt>
                <c:pt idx="12">
                  <c:v>7500</c:v>
                </c:pt>
                <c:pt idx="13">
                  <c:v>7500</c:v>
                </c:pt>
                <c:pt idx="14">
                  <c:v>7500</c:v>
                </c:pt>
                <c:pt idx="15">
                  <c:v>7500</c:v>
                </c:pt>
                <c:pt idx="16">
                  <c:v>7500</c:v>
                </c:pt>
                <c:pt idx="17">
                  <c:v>7500</c:v>
                </c:pt>
                <c:pt idx="18">
                  <c:v>7500</c:v>
                </c:pt>
                <c:pt idx="19">
                  <c:v>7500</c:v>
                </c:pt>
                <c:pt idx="20">
                  <c:v>7500</c:v>
                </c:pt>
                <c:pt idx="21">
                  <c:v>7500</c:v>
                </c:pt>
                <c:pt idx="22">
                  <c:v>7500</c:v>
                </c:pt>
                <c:pt idx="23">
                  <c:v>6877.7639348862813</c:v>
                </c:pt>
                <c:pt idx="24">
                  <c:v>5190.7099161520018</c:v>
                </c:pt>
                <c:pt idx="25">
                  <c:v>3549.1441466064066</c:v>
                </c:pt>
                <c:pt idx="26">
                  <c:v>1954.8547495344937</c:v>
                </c:pt>
                <c:pt idx="27">
                  <c:v>409.71083992921558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A62-43C8-BAB2-80A8C81DA4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5953024"/>
        <c:axId val="175954560"/>
      </c:lineChart>
      <c:catAx>
        <c:axId val="17595302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crossAx val="175954560"/>
        <c:crosses val="autoZero"/>
        <c:auto val="1"/>
        <c:lblAlgn val="ctr"/>
        <c:lblOffset val="100"/>
        <c:tickLblSkip val="3"/>
        <c:tickMarkSkip val="1"/>
        <c:noMultiLvlLbl val="0"/>
      </c:catAx>
      <c:valAx>
        <c:axId val="17595456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$ thousands</a:t>
                </a:r>
              </a:p>
            </c:rich>
          </c:tx>
          <c:overlay val="0"/>
        </c:title>
        <c:numFmt formatCode="_(* #,##0_);_(* \(#,##0\);_(* &quot;-&quot;??_);_(@_)" sourceLinked="1"/>
        <c:majorTickMark val="out"/>
        <c:minorTickMark val="none"/>
        <c:tickLblPos val="nextTo"/>
        <c:crossAx val="175953024"/>
        <c:crosses val="autoZero"/>
        <c:crossBetween val="between"/>
      </c:valAx>
      <c:spPr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:spPr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0211" l="0.70000000000000062" r="0.70000000000000062" t="0.75000000000000211" header="0.30000000000000032" footer="0.30000000000000032"/>
    <c:pageSetup orientation="landscape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Creekmoor POA</a:t>
            </a:r>
          </a:p>
          <a:p>
            <a:pPr>
              <a:defRPr/>
            </a:pPr>
            <a:r>
              <a:rPr lang="en-US" sz="1400" baseline="0">
                <a:solidFill>
                  <a:srgbClr val="010DFF"/>
                </a:solidFill>
              </a:rPr>
              <a:t>EBITDA, Golf vs. Non-Golf Operations</a:t>
            </a:r>
          </a:p>
        </c:rich>
      </c:tx>
      <c:layout>
        <c:manualLayout>
          <c:xMode val="edge"/>
          <c:yMode val="edge"/>
          <c:x val="0.25676391203978155"/>
          <c:y val="3.635485804198102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1356756549346265E-2"/>
          <c:y val="0.21074088703306623"/>
          <c:w val="0.74953304560112066"/>
          <c:h val="0.70983913953104794"/>
        </c:manualLayout>
      </c:layout>
      <c:lineChart>
        <c:grouping val="standard"/>
        <c:varyColors val="0"/>
        <c:ser>
          <c:idx val="1"/>
          <c:order val="0"/>
          <c:tx>
            <c:v>Non Golf OPS</c:v>
          </c:tx>
          <c:marker>
            <c:symbol val="none"/>
          </c:marker>
          <c:cat>
            <c:numRef>
              <c:f>'2019 Budget'!$F$3:$AH$3</c:f>
              <c:numCache>
                <c:formatCode>General</c:formatCode>
                <c:ptCount val="2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  <c:pt idx="12">
                  <c:v>2025</c:v>
                </c:pt>
                <c:pt idx="13">
                  <c:v>2026</c:v>
                </c:pt>
                <c:pt idx="14">
                  <c:v>2027</c:v>
                </c:pt>
                <c:pt idx="15">
                  <c:v>2028</c:v>
                </c:pt>
                <c:pt idx="16">
                  <c:v>2029</c:v>
                </c:pt>
                <c:pt idx="17">
                  <c:v>2030</c:v>
                </c:pt>
                <c:pt idx="18">
                  <c:v>2031</c:v>
                </c:pt>
                <c:pt idx="19">
                  <c:v>2032</c:v>
                </c:pt>
                <c:pt idx="20">
                  <c:v>2033</c:v>
                </c:pt>
                <c:pt idx="21">
                  <c:v>2034</c:v>
                </c:pt>
                <c:pt idx="22">
                  <c:v>2035</c:v>
                </c:pt>
                <c:pt idx="23">
                  <c:v>2036</c:v>
                </c:pt>
                <c:pt idx="24">
                  <c:v>2037</c:v>
                </c:pt>
                <c:pt idx="25">
                  <c:v>2038</c:v>
                </c:pt>
                <c:pt idx="26">
                  <c:v>2039</c:v>
                </c:pt>
                <c:pt idx="27">
                  <c:v>2040</c:v>
                </c:pt>
              </c:numCache>
            </c:numRef>
          </c:cat>
          <c:val>
            <c:numRef>
              <c:f>'2019 Budget'!$C$74:$AH$74</c:f>
              <c:numCache>
                <c:formatCode>#,##0_);\(#,##0\)</c:formatCode>
                <c:ptCount val="28"/>
                <c:pt idx="0">
                  <c:v>-161</c:v>
                </c:pt>
                <c:pt idx="1">
                  <c:v>-122</c:v>
                </c:pt>
                <c:pt idx="2">
                  <c:v>-143</c:v>
                </c:pt>
                <c:pt idx="3">
                  <c:v>-38</c:v>
                </c:pt>
                <c:pt idx="4">
                  <c:v>65</c:v>
                </c:pt>
                <c:pt idx="5">
                  <c:v>106</c:v>
                </c:pt>
                <c:pt idx="6">
                  <c:v>123</c:v>
                </c:pt>
                <c:pt idx="7">
                  <c:v>180.03575000000012</c:v>
                </c:pt>
                <c:pt idx="8">
                  <c:v>248.81120706250013</c:v>
                </c:pt>
                <c:pt idx="9">
                  <c:v>323.68775393623503</c:v>
                </c:pt>
                <c:pt idx="10">
                  <c:v>405.09524830742964</c:v>
                </c:pt>
                <c:pt idx="11">
                  <c:v>493.4910645330753</c:v>
                </c:pt>
                <c:pt idx="12">
                  <c:v>589.36176477739775</c:v>
                </c:pt>
                <c:pt idx="13">
                  <c:v>693.22486829654895</c:v>
                </c:pt>
                <c:pt idx="14">
                  <c:v>805.630724502661</c:v>
                </c:pt>
                <c:pt idx="15">
                  <c:v>927.16449575594629</c:v>
                </c:pt>
                <c:pt idx="16">
                  <c:v>1058.448256168678</c:v>
                </c:pt>
                <c:pt idx="17">
                  <c:v>1200.1432130587345</c:v>
                </c:pt>
                <c:pt idx="18">
                  <c:v>1352.9520580638302</c:v>
                </c:pt>
                <c:pt idx="19">
                  <c:v>1517.6214553218097</c:v>
                </c:pt>
                <c:pt idx="20">
                  <c:v>1658.0935578392287</c:v>
                </c:pt>
                <c:pt idx="21">
                  <c:v>1760.3879886374916</c:v>
                </c:pt>
                <c:pt idx="22">
                  <c:v>1822.0036541515778</c:v>
                </c:pt>
                <c:pt idx="23">
                  <c:v>1857.0786353388694</c:v>
                </c:pt>
                <c:pt idx="24">
                  <c:v>1892.4465036640613</c:v>
                </c:pt>
                <c:pt idx="25">
                  <c:v>1851.7180665986211</c:v>
                </c:pt>
                <c:pt idx="26">
                  <c:v>1809.3205015512644</c:v>
                </c:pt>
                <c:pt idx="27">
                  <c:v>1765.1757916966133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EE2-4362-9D92-E1820C979798}"/>
            </c:ext>
          </c:extLst>
        </c:ser>
        <c:ser>
          <c:idx val="2"/>
          <c:order val="1"/>
          <c:tx>
            <c:v>Golf Ops</c:v>
          </c:tx>
          <c:spPr>
            <a:ln>
              <a:solidFill>
                <a:srgbClr val="010DFF"/>
              </a:solidFill>
            </a:ln>
          </c:spPr>
          <c:marker>
            <c:symbol val="none"/>
          </c:marker>
          <c:cat>
            <c:numRef>
              <c:f>'2019 Budget'!$F$3:$AH$3</c:f>
              <c:numCache>
                <c:formatCode>General</c:formatCode>
                <c:ptCount val="28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  <c:pt idx="10">
                  <c:v>2023</c:v>
                </c:pt>
                <c:pt idx="11">
                  <c:v>2024</c:v>
                </c:pt>
                <c:pt idx="12">
                  <c:v>2025</c:v>
                </c:pt>
                <c:pt idx="13">
                  <c:v>2026</c:v>
                </c:pt>
                <c:pt idx="14">
                  <c:v>2027</c:v>
                </c:pt>
                <c:pt idx="15">
                  <c:v>2028</c:v>
                </c:pt>
                <c:pt idx="16">
                  <c:v>2029</c:v>
                </c:pt>
                <c:pt idx="17">
                  <c:v>2030</c:v>
                </c:pt>
                <c:pt idx="18">
                  <c:v>2031</c:v>
                </c:pt>
                <c:pt idx="19">
                  <c:v>2032</c:v>
                </c:pt>
                <c:pt idx="20">
                  <c:v>2033</c:v>
                </c:pt>
                <c:pt idx="21">
                  <c:v>2034</c:v>
                </c:pt>
                <c:pt idx="22">
                  <c:v>2035</c:v>
                </c:pt>
                <c:pt idx="23">
                  <c:v>2036</c:v>
                </c:pt>
                <c:pt idx="24">
                  <c:v>2037</c:v>
                </c:pt>
                <c:pt idx="25">
                  <c:v>2038</c:v>
                </c:pt>
                <c:pt idx="26">
                  <c:v>2039</c:v>
                </c:pt>
                <c:pt idx="27">
                  <c:v>2040</c:v>
                </c:pt>
              </c:numCache>
            </c:numRef>
          </c:cat>
          <c:val>
            <c:numRef>
              <c:f>'2019 Budget'!$C$75:$AH$75</c:f>
              <c:numCache>
                <c:formatCode>#,##0_);\(#,##0\)</c:formatCode>
                <c:ptCount val="28"/>
                <c:pt idx="0">
                  <c:v>-73</c:v>
                </c:pt>
                <c:pt idx="1">
                  <c:v>-101</c:v>
                </c:pt>
                <c:pt idx="2">
                  <c:v>-162</c:v>
                </c:pt>
                <c:pt idx="3">
                  <c:v>-164</c:v>
                </c:pt>
                <c:pt idx="4">
                  <c:v>-232</c:v>
                </c:pt>
                <c:pt idx="5">
                  <c:v>-180</c:v>
                </c:pt>
                <c:pt idx="6">
                  <c:v>-64</c:v>
                </c:pt>
                <c:pt idx="7">
                  <c:v>-125.12499999999989</c:v>
                </c:pt>
                <c:pt idx="8">
                  <c:v>-128.25312499999987</c:v>
                </c:pt>
                <c:pt idx="9">
                  <c:v>-131.45945312499987</c:v>
                </c:pt>
                <c:pt idx="10">
                  <c:v>-134.74593945312483</c:v>
                </c:pt>
                <c:pt idx="11">
                  <c:v>-138.11458793945297</c:v>
                </c:pt>
                <c:pt idx="12">
                  <c:v>-141.56745263793925</c:v>
                </c:pt>
                <c:pt idx="13">
                  <c:v>-145.1066389538878</c:v>
                </c:pt>
                <c:pt idx="14">
                  <c:v>-148.73430492773491</c:v>
                </c:pt>
                <c:pt idx="15">
                  <c:v>-152.45266255092815</c:v>
                </c:pt>
                <c:pt idx="16">
                  <c:v>-156.26397911470144</c:v>
                </c:pt>
                <c:pt idx="17">
                  <c:v>-160.17057859256897</c:v>
                </c:pt>
                <c:pt idx="18">
                  <c:v>-164.17484305738321</c:v>
                </c:pt>
                <c:pt idx="19">
                  <c:v>-168.27921413381773</c:v>
                </c:pt>
                <c:pt idx="20">
                  <c:v>-172.48619448716317</c:v>
                </c:pt>
                <c:pt idx="21">
                  <c:v>-176.79834934934206</c:v>
                </c:pt>
                <c:pt idx="22">
                  <c:v>-181.2183080830755</c:v>
                </c:pt>
                <c:pt idx="23">
                  <c:v>-185.7487657851525</c:v>
                </c:pt>
                <c:pt idx="24">
                  <c:v>-190.3924849297814</c:v>
                </c:pt>
                <c:pt idx="25">
                  <c:v>-195.1522970530259</c:v>
                </c:pt>
                <c:pt idx="26">
                  <c:v>-200.0311044793516</c:v>
                </c:pt>
                <c:pt idx="27">
                  <c:v>-205.03188209133509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EE2-4362-9D92-E1820C9797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5862144"/>
        <c:axId val="175863680"/>
      </c:lineChart>
      <c:catAx>
        <c:axId val="17586214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low"/>
        <c:crossAx val="175863680"/>
        <c:crosses val="autoZero"/>
        <c:auto val="1"/>
        <c:lblAlgn val="ctr"/>
        <c:lblOffset val="100"/>
        <c:tickLblSkip val="3"/>
        <c:tickMarkSkip val="1"/>
        <c:noMultiLvlLbl val="0"/>
      </c:catAx>
      <c:valAx>
        <c:axId val="17586368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$ thousands</a:t>
                </a:r>
              </a:p>
            </c:rich>
          </c:tx>
          <c:overlay val="0"/>
        </c:title>
        <c:numFmt formatCode="#,##0_);\(#,##0\)" sourceLinked="1"/>
        <c:majorTickMark val="out"/>
        <c:minorTickMark val="none"/>
        <c:tickLblPos val="nextTo"/>
        <c:crossAx val="175862144"/>
        <c:crosses val="autoZero"/>
        <c:crossBetween val="between"/>
      </c:valAx>
      <c:spPr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:spPr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0211" l="0.70000000000000062" r="0.70000000000000062" t="0.75000000000000211" header="0.30000000000000032" footer="0.30000000000000032"/>
    <c:pageSetup orientation="landscape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Creekmoor POA</a:t>
            </a:r>
          </a:p>
          <a:p>
            <a:pPr>
              <a:defRPr/>
            </a:pPr>
            <a:r>
              <a:rPr lang="en-US" sz="1400" baseline="0">
                <a:solidFill>
                  <a:srgbClr val="010DFF"/>
                </a:solidFill>
              </a:rPr>
              <a:t>Loan Balance Forecast</a:t>
            </a:r>
          </a:p>
        </c:rich>
      </c:tx>
      <c:layout>
        <c:manualLayout>
          <c:xMode val="edge"/>
          <c:yMode val="edge"/>
          <c:x val="0.39316786810099558"/>
          <c:y val="2.956825656180833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1356756549346265E-2"/>
          <c:y val="0.21074088703306623"/>
          <c:w val="0.74953304560112066"/>
          <c:h val="0.70983913953104794"/>
        </c:manualLayout>
      </c:layout>
      <c:lineChart>
        <c:grouping val="standard"/>
        <c:varyColors val="0"/>
        <c:ser>
          <c:idx val="1"/>
          <c:order val="0"/>
          <c:tx>
            <c:v>WC Loan</c:v>
          </c:tx>
          <c:spPr>
            <a:ln>
              <a:solidFill>
                <a:srgbClr val="FF0000"/>
              </a:solidFill>
            </a:ln>
          </c:spPr>
          <c:marker>
            <c:symbol val="none"/>
          </c:marker>
          <c:cat>
            <c:numLit>
              <c:formatCode>General</c:formatCode>
              <c:ptCount val="29"/>
              <c:pt idx="0">
                <c:v>2012</c:v>
              </c:pt>
              <c:pt idx="1">
                <c:v>2013</c:v>
              </c:pt>
              <c:pt idx="2">
                <c:v>2014</c:v>
              </c:pt>
              <c:pt idx="3">
                <c:v>2015</c:v>
              </c:pt>
              <c:pt idx="4">
                <c:v>2016</c:v>
              </c:pt>
              <c:pt idx="5">
                <c:v>2017</c:v>
              </c:pt>
              <c:pt idx="6">
                <c:v>2018</c:v>
              </c:pt>
              <c:pt idx="7">
                <c:v>2019</c:v>
              </c:pt>
              <c:pt idx="8">
                <c:v>2020</c:v>
              </c:pt>
              <c:pt idx="9">
                <c:v>2021</c:v>
              </c:pt>
              <c:pt idx="10">
                <c:v>2022</c:v>
              </c:pt>
              <c:pt idx="11">
                <c:v>2023</c:v>
              </c:pt>
              <c:pt idx="12">
                <c:v>2024</c:v>
              </c:pt>
              <c:pt idx="13">
                <c:v>2025</c:v>
              </c:pt>
              <c:pt idx="14">
                <c:v>2026</c:v>
              </c:pt>
              <c:pt idx="15">
                <c:v>2027</c:v>
              </c:pt>
              <c:pt idx="16">
                <c:v>2028</c:v>
              </c:pt>
              <c:pt idx="17">
                <c:v>2029</c:v>
              </c:pt>
              <c:pt idx="18">
                <c:v>2030</c:v>
              </c:pt>
              <c:pt idx="19">
                <c:v>2031</c:v>
              </c:pt>
              <c:pt idx="20">
                <c:v>2032</c:v>
              </c:pt>
              <c:pt idx="21">
                <c:v>2033</c:v>
              </c:pt>
              <c:pt idx="22">
                <c:v>2034</c:v>
              </c:pt>
              <c:pt idx="23">
                <c:v>2035</c:v>
              </c:pt>
              <c:pt idx="24">
                <c:v>2036</c:v>
              </c:pt>
              <c:pt idx="25">
                <c:v>2037</c:v>
              </c:pt>
              <c:pt idx="26">
                <c:v>2038</c:v>
              </c:pt>
              <c:pt idx="27">
                <c:v>2039</c:v>
              </c:pt>
              <c:pt idx="28">
                <c:v>2040</c:v>
              </c:pt>
            </c:numLit>
          </c:cat>
          <c:val>
            <c:numLit>
              <c:formatCode>General</c:formatCode>
              <c:ptCount val="32"/>
              <c:pt idx="0">
                <c:v>4735</c:v>
              </c:pt>
              <c:pt idx="1">
                <c:v>5318</c:v>
              </c:pt>
              <c:pt idx="2">
                <c:v>5835</c:v>
              </c:pt>
              <c:pt idx="3">
                <c:v>6332</c:v>
              </c:pt>
              <c:pt idx="4">
                <c:v>6730</c:v>
              </c:pt>
              <c:pt idx="5">
                <c:v>7254</c:v>
              </c:pt>
              <c:pt idx="6">
                <c:v>7842</c:v>
              </c:pt>
              <c:pt idx="7">
                <c:v>8294</c:v>
              </c:pt>
              <c:pt idx="8">
                <c:v>8790</c:v>
              </c:pt>
              <c:pt idx="9">
                <c:v>9125</c:v>
              </c:pt>
              <c:pt idx="10">
                <c:v>9353</c:v>
              </c:pt>
              <c:pt idx="11">
                <c:v>9616.1694503125</c:v>
              </c:pt>
              <c:pt idx="12">
                <c:v>9821.177806551641</c:v>
              </c:pt>
              <c:pt idx="13">
                <c:v>9960.0140745651515</c:v>
              </c:pt>
              <c:pt idx="14">
                <c:v>10023.972046865332</c:v>
              </c:pt>
              <c:pt idx="15">
                <c:v>10003.599794050187</c:v>
              </c:pt>
              <c:pt idx="16">
                <c:v>9888.6458176450942</c:v>
              </c:pt>
              <c:pt idx="17">
                <c:v>9668.0016561490811</c:v>
              </c:pt>
              <c:pt idx="18">
                <c:v>9329.6407235809074</c:v>
              </c:pt>
              <c:pt idx="19">
                <c:v>8860.5531466026878</c:v>
              </c:pt>
              <c:pt idx="20">
                <c:v>8246.6763523111713</c:v>
              </c:pt>
              <c:pt idx="21">
                <c:v>7472.8211439850438</c:v>
              </c:pt>
              <c:pt idx="22">
                <c:v>6522.5929864142563</c:v>
              </c:pt>
              <c:pt idx="23">
                <c:v>5378.3082058654227</c:v>
              </c:pt>
              <c:pt idx="24">
                <c:v>4058.3547395495125</c:v>
              </c:pt>
              <c:pt idx="25">
                <c:v>2595.9282976582899</c:v>
              </c:pt>
              <c:pt idx="26">
                <c:v>1027.8478593900688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513C-449A-954A-DD4E5C0F1AA8}"/>
            </c:ext>
          </c:extLst>
        </c:ser>
        <c:ser>
          <c:idx val="2"/>
          <c:order val="1"/>
          <c:tx>
            <c:v>INFR LOAN</c:v>
          </c:tx>
          <c:spPr>
            <a:ln>
              <a:solidFill>
                <a:srgbClr val="010DFF"/>
              </a:solidFill>
            </a:ln>
          </c:spPr>
          <c:marker>
            <c:symbol val="none"/>
          </c:marker>
          <c:cat>
            <c:numLit>
              <c:formatCode>General</c:formatCode>
              <c:ptCount val="29"/>
              <c:pt idx="0">
                <c:v>2012</c:v>
              </c:pt>
              <c:pt idx="1">
                <c:v>2013</c:v>
              </c:pt>
              <c:pt idx="2">
                <c:v>2014</c:v>
              </c:pt>
              <c:pt idx="3">
                <c:v>2015</c:v>
              </c:pt>
              <c:pt idx="4">
                <c:v>2016</c:v>
              </c:pt>
              <c:pt idx="5">
                <c:v>2017</c:v>
              </c:pt>
              <c:pt idx="6">
                <c:v>2018</c:v>
              </c:pt>
              <c:pt idx="7">
                <c:v>2019</c:v>
              </c:pt>
              <c:pt idx="8">
                <c:v>2020</c:v>
              </c:pt>
              <c:pt idx="9">
                <c:v>2021</c:v>
              </c:pt>
              <c:pt idx="10">
                <c:v>2022</c:v>
              </c:pt>
              <c:pt idx="11">
                <c:v>2023</c:v>
              </c:pt>
              <c:pt idx="12">
                <c:v>2024</c:v>
              </c:pt>
              <c:pt idx="13">
                <c:v>2025</c:v>
              </c:pt>
              <c:pt idx="14">
                <c:v>2026</c:v>
              </c:pt>
              <c:pt idx="15">
                <c:v>2027</c:v>
              </c:pt>
              <c:pt idx="16">
                <c:v>2028</c:v>
              </c:pt>
              <c:pt idx="17">
                <c:v>2029</c:v>
              </c:pt>
              <c:pt idx="18">
                <c:v>2030</c:v>
              </c:pt>
              <c:pt idx="19">
                <c:v>2031</c:v>
              </c:pt>
              <c:pt idx="20">
                <c:v>2032</c:v>
              </c:pt>
              <c:pt idx="21">
                <c:v>2033</c:v>
              </c:pt>
              <c:pt idx="22">
                <c:v>2034</c:v>
              </c:pt>
              <c:pt idx="23">
                <c:v>2035</c:v>
              </c:pt>
              <c:pt idx="24">
                <c:v>2036</c:v>
              </c:pt>
              <c:pt idx="25">
                <c:v>2037</c:v>
              </c:pt>
              <c:pt idx="26">
                <c:v>2038</c:v>
              </c:pt>
              <c:pt idx="27">
                <c:v>2039</c:v>
              </c:pt>
              <c:pt idx="28">
                <c:v>2040</c:v>
              </c:pt>
            </c:numLit>
          </c:cat>
          <c:val>
            <c:numLit>
              <c:formatCode>General</c:formatCode>
              <c:ptCount val="32"/>
              <c:pt idx="0">
                <c:v>4731</c:v>
              </c:pt>
              <c:pt idx="1">
                <c:v>4752</c:v>
              </c:pt>
              <c:pt idx="2">
                <c:v>4776</c:v>
              </c:pt>
              <c:pt idx="3">
                <c:v>5144</c:v>
              </c:pt>
              <c:pt idx="4">
                <c:v>5444</c:v>
              </c:pt>
              <c:pt idx="5">
                <c:v>6424</c:v>
              </c:pt>
              <c:pt idx="6">
                <c:v>6773</c:v>
              </c:pt>
              <c:pt idx="7">
                <c:v>7482</c:v>
              </c:pt>
              <c:pt idx="8">
                <c:v>7500</c:v>
              </c:pt>
              <c:pt idx="9">
                <c:v>7500</c:v>
              </c:pt>
              <c:pt idx="10">
                <c:v>7500</c:v>
              </c:pt>
              <c:pt idx="11">
                <c:v>7500</c:v>
              </c:pt>
              <c:pt idx="12">
                <c:v>7500</c:v>
              </c:pt>
              <c:pt idx="13">
                <c:v>7500</c:v>
              </c:pt>
              <c:pt idx="14">
                <c:v>7500</c:v>
              </c:pt>
              <c:pt idx="15">
                <c:v>7500</c:v>
              </c:pt>
              <c:pt idx="16">
                <c:v>7500</c:v>
              </c:pt>
              <c:pt idx="17">
                <c:v>7500</c:v>
              </c:pt>
              <c:pt idx="18">
                <c:v>7500</c:v>
              </c:pt>
              <c:pt idx="19">
                <c:v>7500</c:v>
              </c:pt>
              <c:pt idx="20">
                <c:v>7500</c:v>
              </c:pt>
              <c:pt idx="21">
                <c:v>7500</c:v>
              </c:pt>
              <c:pt idx="22">
                <c:v>7500</c:v>
              </c:pt>
              <c:pt idx="23">
                <c:v>7500</c:v>
              </c:pt>
              <c:pt idx="24">
                <c:v>7500</c:v>
              </c:pt>
              <c:pt idx="25">
                <c:v>7500</c:v>
              </c:pt>
              <c:pt idx="26">
                <c:v>7500</c:v>
              </c:pt>
              <c:pt idx="27">
                <c:v>6877.7639348862813</c:v>
              </c:pt>
              <c:pt idx="28">
                <c:v>5190.7099161520018</c:v>
              </c:pt>
              <c:pt idx="29">
                <c:v>3549.1441466064066</c:v>
              </c:pt>
              <c:pt idx="30">
                <c:v>1954.8547495344937</c:v>
              </c:pt>
              <c:pt idx="31">
                <c:v>409.71083992921558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513C-449A-954A-DD4E5C0F1A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5953024"/>
        <c:axId val="175954560"/>
      </c:lineChart>
      <c:catAx>
        <c:axId val="17595302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crossAx val="175954560"/>
        <c:crosses val="autoZero"/>
        <c:auto val="1"/>
        <c:lblAlgn val="ctr"/>
        <c:lblOffset val="100"/>
        <c:tickLblSkip val="3"/>
        <c:tickMarkSkip val="1"/>
        <c:noMultiLvlLbl val="0"/>
      </c:catAx>
      <c:valAx>
        <c:axId val="17595456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$ thousands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175953024"/>
        <c:crosses val="autoZero"/>
        <c:crossBetween val="between"/>
      </c:valAx>
      <c:spPr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:spPr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0211" l="0.70000000000000062" r="0.70000000000000062" t="0.75000000000000211" header="0.30000000000000032" footer="0.30000000000000032"/>
    <c:pageSetup orientation="landscape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Creekmoor POA</a:t>
            </a:r>
          </a:p>
          <a:p>
            <a:pPr>
              <a:defRPr/>
            </a:pPr>
            <a:r>
              <a:rPr lang="en-US" sz="1400" baseline="0">
                <a:solidFill>
                  <a:srgbClr val="010DFF"/>
                </a:solidFill>
              </a:rPr>
              <a:t>EBITDA, Golf vs. Non-Golf Operations</a:t>
            </a:r>
          </a:p>
        </c:rich>
      </c:tx>
      <c:layout>
        <c:manualLayout>
          <c:xMode val="edge"/>
          <c:yMode val="edge"/>
          <c:x val="0.25676391203978155"/>
          <c:y val="3.635485804198102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1356756549346265E-2"/>
          <c:y val="0.21074088703306623"/>
          <c:w val="0.74953304560112066"/>
          <c:h val="0.70983913953104794"/>
        </c:manualLayout>
      </c:layout>
      <c:lineChart>
        <c:grouping val="standard"/>
        <c:varyColors val="0"/>
        <c:ser>
          <c:idx val="1"/>
          <c:order val="0"/>
          <c:tx>
            <c:v>Non Golf OPS</c:v>
          </c:tx>
          <c:marker>
            <c:symbol val="none"/>
          </c:marker>
          <c:cat>
            <c:numLit>
              <c:formatCode>General</c:formatCode>
              <c:ptCount val="29"/>
              <c:pt idx="0">
                <c:v>2012</c:v>
              </c:pt>
              <c:pt idx="1">
                <c:v>2013</c:v>
              </c:pt>
              <c:pt idx="2">
                <c:v>2014</c:v>
              </c:pt>
              <c:pt idx="3">
                <c:v>2015</c:v>
              </c:pt>
              <c:pt idx="4">
                <c:v>2016</c:v>
              </c:pt>
              <c:pt idx="5">
                <c:v>2017</c:v>
              </c:pt>
              <c:pt idx="6">
                <c:v>2018</c:v>
              </c:pt>
              <c:pt idx="7">
                <c:v>2019</c:v>
              </c:pt>
              <c:pt idx="8">
                <c:v>2020</c:v>
              </c:pt>
              <c:pt idx="9">
                <c:v>2021</c:v>
              </c:pt>
              <c:pt idx="10">
                <c:v>2022</c:v>
              </c:pt>
              <c:pt idx="11">
                <c:v>2023</c:v>
              </c:pt>
              <c:pt idx="12">
                <c:v>2024</c:v>
              </c:pt>
              <c:pt idx="13">
                <c:v>2025</c:v>
              </c:pt>
              <c:pt idx="14">
                <c:v>2026</c:v>
              </c:pt>
              <c:pt idx="15">
                <c:v>2027</c:v>
              </c:pt>
              <c:pt idx="16">
                <c:v>2028</c:v>
              </c:pt>
              <c:pt idx="17">
                <c:v>2029</c:v>
              </c:pt>
              <c:pt idx="18">
                <c:v>2030</c:v>
              </c:pt>
              <c:pt idx="19">
                <c:v>2031</c:v>
              </c:pt>
              <c:pt idx="20">
                <c:v>2032</c:v>
              </c:pt>
              <c:pt idx="21">
                <c:v>2033</c:v>
              </c:pt>
              <c:pt idx="22">
                <c:v>2034</c:v>
              </c:pt>
              <c:pt idx="23">
                <c:v>2035</c:v>
              </c:pt>
              <c:pt idx="24">
                <c:v>2036</c:v>
              </c:pt>
              <c:pt idx="25">
                <c:v>2037</c:v>
              </c:pt>
              <c:pt idx="26">
                <c:v>2038</c:v>
              </c:pt>
              <c:pt idx="27">
                <c:v>2039</c:v>
              </c:pt>
              <c:pt idx="28">
                <c:v>2040</c:v>
              </c:pt>
            </c:numLit>
          </c:cat>
          <c:val>
            <c:numLit>
              <c:formatCode>General</c:formatCode>
              <c:ptCount val="32"/>
              <c:pt idx="0">
                <c:v>-299</c:v>
              </c:pt>
              <c:pt idx="1">
                <c:v>-200</c:v>
              </c:pt>
              <c:pt idx="2">
                <c:v>-214</c:v>
              </c:pt>
              <c:pt idx="3">
                <c:v>-173</c:v>
              </c:pt>
              <c:pt idx="4">
                <c:v>-161</c:v>
              </c:pt>
              <c:pt idx="5">
                <c:v>-122</c:v>
              </c:pt>
              <c:pt idx="6">
                <c:v>-143</c:v>
              </c:pt>
              <c:pt idx="7">
                <c:v>-38</c:v>
              </c:pt>
              <c:pt idx="8">
                <c:v>65</c:v>
              </c:pt>
              <c:pt idx="9">
                <c:v>106</c:v>
              </c:pt>
              <c:pt idx="10">
                <c:v>123</c:v>
              </c:pt>
              <c:pt idx="11">
                <c:v>180.03575000000012</c:v>
              </c:pt>
              <c:pt idx="12">
                <c:v>248.81120706250013</c:v>
              </c:pt>
              <c:pt idx="13">
                <c:v>323.68775393623503</c:v>
              </c:pt>
              <c:pt idx="14">
                <c:v>405.09524830742964</c:v>
              </c:pt>
              <c:pt idx="15">
                <c:v>493.4910645330753</c:v>
              </c:pt>
              <c:pt idx="16">
                <c:v>589.36176477739775</c:v>
              </c:pt>
              <c:pt idx="17">
                <c:v>693.22486829654895</c:v>
              </c:pt>
              <c:pt idx="18">
                <c:v>805.630724502661</c:v>
              </c:pt>
              <c:pt idx="19">
                <c:v>927.16449575594629</c:v>
              </c:pt>
              <c:pt idx="20">
                <c:v>1058.448256168678</c:v>
              </c:pt>
              <c:pt idx="21">
                <c:v>1200.1432130587345</c:v>
              </c:pt>
              <c:pt idx="22">
                <c:v>1352.9520580638302</c:v>
              </c:pt>
              <c:pt idx="23">
                <c:v>1517.6214553218097</c:v>
              </c:pt>
              <c:pt idx="24">
                <c:v>1658.0935578392287</c:v>
              </c:pt>
              <c:pt idx="25">
                <c:v>1760.3879886374916</c:v>
              </c:pt>
              <c:pt idx="26">
                <c:v>1822.0036541515778</c:v>
              </c:pt>
              <c:pt idx="27">
                <c:v>1857.0786353388694</c:v>
              </c:pt>
              <c:pt idx="28">
                <c:v>1892.4465036640613</c:v>
              </c:pt>
              <c:pt idx="29">
                <c:v>1851.7180665986211</c:v>
              </c:pt>
              <c:pt idx="30">
                <c:v>1809.3205015512644</c:v>
              </c:pt>
              <c:pt idx="31">
                <c:v>1765.1757916966133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0834-4828-8B64-DE412F15C102}"/>
            </c:ext>
          </c:extLst>
        </c:ser>
        <c:ser>
          <c:idx val="2"/>
          <c:order val="1"/>
          <c:tx>
            <c:v>Golf Ops</c:v>
          </c:tx>
          <c:spPr>
            <a:ln>
              <a:solidFill>
                <a:srgbClr val="010DFF"/>
              </a:solidFill>
            </a:ln>
          </c:spPr>
          <c:marker>
            <c:symbol val="none"/>
          </c:marker>
          <c:cat>
            <c:numLit>
              <c:formatCode>General</c:formatCode>
              <c:ptCount val="29"/>
              <c:pt idx="0">
                <c:v>2012</c:v>
              </c:pt>
              <c:pt idx="1">
                <c:v>2013</c:v>
              </c:pt>
              <c:pt idx="2">
                <c:v>2014</c:v>
              </c:pt>
              <c:pt idx="3">
                <c:v>2015</c:v>
              </c:pt>
              <c:pt idx="4">
                <c:v>2016</c:v>
              </c:pt>
              <c:pt idx="5">
                <c:v>2017</c:v>
              </c:pt>
              <c:pt idx="6">
                <c:v>2018</c:v>
              </c:pt>
              <c:pt idx="7">
                <c:v>2019</c:v>
              </c:pt>
              <c:pt idx="8">
                <c:v>2020</c:v>
              </c:pt>
              <c:pt idx="9">
                <c:v>2021</c:v>
              </c:pt>
              <c:pt idx="10">
                <c:v>2022</c:v>
              </c:pt>
              <c:pt idx="11">
                <c:v>2023</c:v>
              </c:pt>
              <c:pt idx="12">
                <c:v>2024</c:v>
              </c:pt>
              <c:pt idx="13">
                <c:v>2025</c:v>
              </c:pt>
              <c:pt idx="14">
                <c:v>2026</c:v>
              </c:pt>
              <c:pt idx="15">
                <c:v>2027</c:v>
              </c:pt>
              <c:pt idx="16">
                <c:v>2028</c:v>
              </c:pt>
              <c:pt idx="17">
                <c:v>2029</c:v>
              </c:pt>
              <c:pt idx="18">
                <c:v>2030</c:v>
              </c:pt>
              <c:pt idx="19">
                <c:v>2031</c:v>
              </c:pt>
              <c:pt idx="20">
                <c:v>2032</c:v>
              </c:pt>
              <c:pt idx="21">
                <c:v>2033</c:v>
              </c:pt>
              <c:pt idx="22">
                <c:v>2034</c:v>
              </c:pt>
              <c:pt idx="23">
                <c:v>2035</c:v>
              </c:pt>
              <c:pt idx="24">
                <c:v>2036</c:v>
              </c:pt>
              <c:pt idx="25">
                <c:v>2037</c:v>
              </c:pt>
              <c:pt idx="26">
                <c:v>2038</c:v>
              </c:pt>
              <c:pt idx="27">
                <c:v>2039</c:v>
              </c:pt>
              <c:pt idx="28">
                <c:v>2040</c:v>
              </c:pt>
            </c:numLit>
          </c:cat>
          <c:val>
            <c:numLit>
              <c:formatCode>General</c:formatCode>
              <c:ptCount val="32"/>
              <c:pt idx="0">
                <c:v>-310</c:v>
              </c:pt>
              <c:pt idx="1">
                <c:v>-199</c:v>
              </c:pt>
              <c:pt idx="2">
                <c:v>-71</c:v>
              </c:pt>
              <c:pt idx="3">
                <c:v>-83</c:v>
              </c:pt>
              <c:pt idx="4">
                <c:v>-73</c:v>
              </c:pt>
              <c:pt idx="5">
                <c:v>-101</c:v>
              </c:pt>
              <c:pt idx="6">
                <c:v>-162</c:v>
              </c:pt>
              <c:pt idx="7">
                <c:v>-164</c:v>
              </c:pt>
              <c:pt idx="8">
                <c:v>-232</c:v>
              </c:pt>
              <c:pt idx="9">
                <c:v>-180</c:v>
              </c:pt>
              <c:pt idx="10">
                <c:v>-64</c:v>
              </c:pt>
              <c:pt idx="11">
                <c:v>-125.12499999999989</c:v>
              </c:pt>
              <c:pt idx="12">
                <c:v>-128.25312499999987</c:v>
              </c:pt>
              <c:pt idx="13">
                <c:v>-131.45945312499987</c:v>
              </c:pt>
              <c:pt idx="14">
                <c:v>-134.74593945312483</c:v>
              </c:pt>
              <c:pt idx="15">
                <c:v>-138.11458793945297</c:v>
              </c:pt>
              <c:pt idx="16">
                <c:v>-141.56745263793925</c:v>
              </c:pt>
              <c:pt idx="17">
                <c:v>-145.1066389538878</c:v>
              </c:pt>
              <c:pt idx="18">
                <c:v>-148.73430492773491</c:v>
              </c:pt>
              <c:pt idx="19">
                <c:v>-152.45266255092815</c:v>
              </c:pt>
              <c:pt idx="20">
                <c:v>-156.26397911470144</c:v>
              </c:pt>
              <c:pt idx="21">
                <c:v>-160.17057859256897</c:v>
              </c:pt>
              <c:pt idx="22">
                <c:v>-164.17484305738321</c:v>
              </c:pt>
              <c:pt idx="23">
                <c:v>-168.27921413381773</c:v>
              </c:pt>
              <c:pt idx="24">
                <c:v>-172.48619448716317</c:v>
              </c:pt>
              <c:pt idx="25">
                <c:v>-176.79834934934206</c:v>
              </c:pt>
              <c:pt idx="26">
                <c:v>-181.2183080830755</c:v>
              </c:pt>
              <c:pt idx="27">
                <c:v>-185.7487657851525</c:v>
              </c:pt>
              <c:pt idx="28">
                <c:v>-190.3924849297814</c:v>
              </c:pt>
              <c:pt idx="29">
                <c:v>-195.1522970530259</c:v>
              </c:pt>
              <c:pt idx="30">
                <c:v>-200.0311044793516</c:v>
              </c:pt>
              <c:pt idx="31">
                <c:v>-205.03188209133509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0834-4828-8B64-DE412F15C1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5862144"/>
        <c:axId val="175863680"/>
      </c:lineChart>
      <c:catAx>
        <c:axId val="17586214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low"/>
        <c:crossAx val="175863680"/>
        <c:crosses val="autoZero"/>
        <c:auto val="1"/>
        <c:lblAlgn val="ctr"/>
        <c:lblOffset val="100"/>
        <c:tickLblSkip val="3"/>
        <c:tickMarkSkip val="1"/>
        <c:noMultiLvlLbl val="0"/>
      </c:catAx>
      <c:valAx>
        <c:axId val="17586368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$ thousands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175862144"/>
        <c:crosses val="autoZero"/>
        <c:crossBetween val="between"/>
      </c:valAx>
      <c:spPr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:spPr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0211" l="0.70000000000000062" r="0.70000000000000062" t="0.75000000000000211" header="0.30000000000000032" footer="0.30000000000000032"/>
    <c:pageSetup orientation="landscape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Creekmoor POA</a:t>
            </a:r>
          </a:p>
          <a:p>
            <a:pPr>
              <a:defRPr/>
            </a:pPr>
            <a:r>
              <a:rPr lang="en-US" sz="1400" baseline="0">
                <a:solidFill>
                  <a:srgbClr val="010DFF"/>
                </a:solidFill>
              </a:rPr>
              <a:t>Loan Balance Forecast</a:t>
            </a:r>
          </a:p>
        </c:rich>
      </c:tx>
      <c:layout>
        <c:manualLayout>
          <c:xMode val="edge"/>
          <c:yMode val="edge"/>
          <c:x val="0.39316786810099558"/>
          <c:y val="2.956825656180833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1356756549346265E-2"/>
          <c:y val="0.21074088703306623"/>
          <c:w val="0.74953304560112066"/>
          <c:h val="0.70983913953104794"/>
        </c:manualLayout>
      </c:layout>
      <c:lineChart>
        <c:grouping val="standard"/>
        <c:varyColors val="0"/>
        <c:ser>
          <c:idx val="1"/>
          <c:order val="0"/>
          <c:tx>
            <c:v>WC Loan</c:v>
          </c:tx>
          <c:spPr>
            <a:ln>
              <a:solidFill>
                <a:srgbClr val="FF0000"/>
              </a:solidFill>
            </a:ln>
          </c:spPr>
          <c:marker>
            <c:symbol val="none"/>
          </c:marker>
          <c:cat>
            <c:numLit>
              <c:formatCode>General</c:formatCode>
              <c:ptCount val="29"/>
              <c:pt idx="0">
                <c:v>2012</c:v>
              </c:pt>
              <c:pt idx="1">
                <c:v>2013</c:v>
              </c:pt>
              <c:pt idx="2">
                <c:v>2014</c:v>
              </c:pt>
              <c:pt idx="3">
                <c:v>2015</c:v>
              </c:pt>
              <c:pt idx="4">
                <c:v>2016</c:v>
              </c:pt>
              <c:pt idx="5">
                <c:v>2017</c:v>
              </c:pt>
              <c:pt idx="6">
                <c:v>2018</c:v>
              </c:pt>
              <c:pt idx="7">
                <c:v>2019</c:v>
              </c:pt>
              <c:pt idx="8">
                <c:v>2020</c:v>
              </c:pt>
              <c:pt idx="9">
                <c:v>2021</c:v>
              </c:pt>
              <c:pt idx="10">
                <c:v>2022</c:v>
              </c:pt>
              <c:pt idx="11">
                <c:v>2023</c:v>
              </c:pt>
              <c:pt idx="12">
                <c:v>2024</c:v>
              </c:pt>
              <c:pt idx="13">
                <c:v>2025</c:v>
              </c:pt>
              <c:pt idx="14">
                <c:v>2026</c:v>
              </c:pt>
              <c:pt idx="15">
                <c:v>2027</c:v>
              </c:pt>
              <c:pt idx="16">
                <c:v>2028</c:v>
              </c:pt>
              <c:pt idx="17">
                <c:v>2029</c:v>
              </c:pt>
              <c:pt idx="18">
                <c:v>2030</c:v>
              </c:pt>
              <c:pt idx="19">
                <c:v>2031</c:v>
              </c:pt>
              <c:pt idx="20">
                <c:v>2032</c:v>
              </c:pt>
              <c:pt idx="21">
                <c:v>2033</c:v>
              </c:pt>
              <c:pt idx="22">
                <c:v>2034</c:v>
              </c:pt>
              <c:pt idx="23">
                <c:v>2035</c:v>
              </c:pt>
              <c:pt idx="24">
                <c:v>2036</c:v>
              </c:pt>
              <c:pt idx="25">
                <c:v>2037</c:v>
              </c:pt>
              <c:pt idx="26">
                <c:v>2038</c:v>
              </c:pt>
              <c:pt idx="27">
                <c:v>2039</c:v>
              </c:pt>
              <c:pt idx="28">
                <c:v>2040</c:v>
              </c:pt>
            </c:numLit>
          </c:cat>
          <c:val>
            <c:numLit>
              <c:formatCode>General</c:formatCode>
              <c:ptCount val="32"/>
              <c:pt idx="0">
                <c:v>4735</c:v>
              </c:pt>
              <c:pt idx="1">
                <c:v>5318</c:v>
              </c:pt>
              <c:pt idx="2">
                <c:v>5835</c:v>
              </c:pt>
              <c:pt idx="3">
                <c:v>6332</c:v>
              </c:pt>
              <c:pt idx="4">
                <c:v>6730</c:v>
              </c:pt>
              <c:pt idx="5">
                <c:v>7254</c:v>
              </c:pt>
              <c:pt idx="6">
                <c:v>7842</c:v>
              </c:pt>
              <c:pt idx="7">
                <c:v>8294</c:v>
              </c:pt>
              <c:pt idx="8">
                <c:v>8790</c:v>
              </c:pt>
              <c:pt idx="9">
                <c:v>9125</c:v>
              </c:pt>
              <c:pt idx="10">
                <c:v>9353</c:v>
              </c:pt>
              <c:pt idx="11">
                <c:v>9616.1694503125</c:v>
              </c:pt>
              <c:pt idx="12">
                <c:v>9821.177806551641</c:v>
              </c:pt>
              <c:pt idx="13">
                <c:v>9960.0140745651515</c:v>
              </c:pt>
              <c:pt idx="14">
                <c:v>10023.972046865332</c:v>
              </c:pt>
              <c:pt idx="15">
                <c:v>10003.599794050187</c:v>
              </c:pt>
              <c:pt idx="16">
                <c:v>9888.6458176450942</c:v>
              </c:pt>
              <c:pt idx="17">
                <c:v>9668.0016561490811</c:v>
              </c:pt>
              <c:pt idx="18">
                <c:v>9329.6407235809074</c:v>
              </c:pt>
              <c:pt idx="19">
                <c:v>8860.5531466026878</c:v>
              </c:pt>
              <c:pt idx="20">
                <c:v>8246.6763523111713</c:v>
              </c:pt>
              <c:pt idx="21">
                <c:v>7472.8211439850438</c:v>
              </c:pt>
              <c:pt idx="22">
                <c:v>6522.5929864142563</c:v>
              </c:pt>
              <c:pt idx="23">
                <c:v>5378.3082058654227</c:v>
              </c:pt>
              <c:pt idx="24">
                <c:v>4058.3547395495125</c:v>
              </c:pt>
              <c:pt idx="25">
                <c:v>2595.9282976582899</c:v>
              </c:pt>
              <c:pt idx="26">
                <c:v>1027.8478593900688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A7F9-4710-9F78-7E698DB8A65A}"/>
            </c:ext>
          </c:extLst>
        </c:ser>
        <c:ser>
          <c:idx val="2"/>
          <c:order val="1"/>
          <c:tx>
            <c:v>INFR LOAN</c:v>
          </c:tx>
          <c:spPr>
            <a:ln>
              <a:solidFill>
                <a:srgbClr val="010DFF"/>
              </a:solidFill>
            </a:ln>
          </c:spPr>
          <c:marker>
            <c:symbol val="none"/>
          </c:marker>
          <c:cat>
            <c:numLit>
              <c:formatCode>General</c:formatCode>
              <c:ptCount val="29"/>
              <c:pt idx="0">
                <c:v>2012</c:v>
              </c:pt>
              <c:pt idx="1">
                <c:v>2013</c:v>
              </c:pt>
              <c:pt idx="2">
                <c:v>2014</c:v>
              </c:pt>
              <c:pt idx="3">
                <c:v>2015</c:v>
              </c:pt>
              <c:pt idx="4">
                <c:v>2016</c:v>
              </c:pt>
              <c:pt idx="5">
                <c:v>2017</c:v>
              </c:pt>
              <c:pt idx="6">
                <c:v>2018</c:v>
              </c:pt>
              <c:pt idx="7">
                <c:v>2019</c:v>
              </c:pt>
              <c:pt idx="8">
                <c:v>2020</c:v>
              </c:pt>
              <c:pt idx="9">
                <c:v>2021</c:v>
              </c:pt>
              <c:pt idx="10">
                <c:v>2022</c:v>
              </c:pt>
              <c:pt idx="11">
                <c:v>2023</c:v>
              </c:pt>
              <c:pt idx="12">
                <c:v>2024</c:v>
              </c:pt>
              <c:pt idx="13">
                <c:v>2025</c:v>
              </c:pt>
              <c:pt idx="14">
                <c:v>2026</c:v>
              </c:pt>
              <c:pt idx="15">
                <c:v>2027</c:v>
              </c:pt>
              <c:pt idx="16">
                <c:v>2028</c:v>
              </c:pt>
              <c:pt idx="17">
                <c:v>2029</c:v>
              </c:pt>
              <c:pt idx="18">
                <c:v>2030</c:v>
              </c:pt>
              <c:pt idx="19">
                <c:v>2031</c:v>
              </c:pt>
              <c:pt idx="20">
                <c:v>2032</c:v>
              </c:pt>
              <c:pt idx="21">
                <c:v>2033</c:v>
              </c:pt>
              <c:pt idx="22">
                <c:v>2034</c:v>
              </c:pt>
              <c:pt idx="23">
                <c:v>2035</c:v>
              </c:pt>
              <c:pt idx="24">
                <c:v>2036</c:v>
              </c:pt>
              <c:pt idx="25">
                <c:v>2037</c:v>
              </c:pt>
              <c:pt idx="26">
                <c:v>2038</c:v>
              </c:pt>
              <c:pt idx="27">
                <c:v>2039</c:v>
              </c:pt>
              <c:pt idx="28">
                <c:v>2040</c:v>
              </c:pt>
            </c:numLit>
          </c:cat>
          <c:val>
            <c:numLit>
              <c:formatCode>General</c:formatCode>
              <c:ptCount val="32"/>
              <c:pt idx="0">
                <c:v>4731</c:v>
              </c:pt>
              <c:pt idx="1">
                <c:v>4752</c:v>
              </c:pt>
              <c:pt idx="2">
                <c:v>4776</c:v>
              </c:pt>
              <c:pt idx="3">
                <c:v>5144</c:v>
              </c:pt>
              <c:pt idx="4">
                <c:v>5444</c:v>
              </c:pt>
              <c:pt idx="5">
                <c:v>6424</c:v>
              </c:pt>
              <c:pt idx="6">
                <c:v>6773</c:v>
              </c:pt>
              <c:pt idx="7">
                <c:v>7482</c:v>
              </c:pt>
              <c:pt idx="8">
                <c:v>7500</c:v>
              </c:pt>
              <c:pt idx="9">
                <c:v>7500</c:v>
              </c:pt>
              <c:pt idx="10">
                <c:v>7500</c:v>
              </c:pt>
              <c:pt idx="11">
                <c:v>7500</c:v>
              </c:pt>
              <c:pt idx="12">
                <c:v>7500</c:v>
              </c:pt>
              <c:pt idx="13">
                <c:v>7500</c:v>
              </c:pt>
              <c:pt idx="14">
                <c:v>7500</c:v>
              </c:pt>
              <c:pt idx="15">
                <c:v>7500</c:v>
              </c:pt>
              <c:pt idx="16">
                <c:v>7500</c:v>
              </c:pt>
              <c:pt idx="17">
                <c:v>7500</c:v>
              </c:pt>
              <c:pt idx="18">
                <c:v>7500</c:v>
              </c:pt>
              <c:pt idx="19">
                <c:v>7500</c:v>
              </c:pt>
              <c:pt idx="20">
                <c:v>7500</c:v>
              </c:pt>
              <c:pt idx="21">
                <c:v>7500</c:v>
              </c:pt>
              <c:pt idx="22">
                <c:v>7500</c:v>
              </c:pt>
              <c:pt idx="23">
                <c:v>7500</c:v>
              </c:pt>
              <c:pt idx="24">
                <c:v>7500</c:v>
              </c:pt>
              <c:pt idx="25">
                <c:v>7500</c:v>
              </c:pt>
              <c:pt idx="26">
                <c:v>7500</c:v>
              </c:pt>
              <c:pt idx="27">
                <c:v>6877.7639348862813</c:v>
              </c:pt>
              <c:pt idx="28">
                <c:v>5190.7099161520018</c:v>
              </c:pt>
              <c:pt idx="29">
                <c:v>3549.1441466064066</c:v>
              </c:pt>
              <c:pt idx="30">
                <c:v>1954.8547495344937</c:v>
              </c:pt>
              <c:pt idx="31">
                <c:v>409.71083992921558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A7F9-4710-9F78-7E698DB8A6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5953024"/>
        <c:axId val="175954560"/>
      </c:lineChart>
      <c:catAx>
        <c:axId val="17595302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crossAx val="175954560"/>
        <c:crosses val="autoZero"/>
        <c:auto val="1"/>
        <c:lblAlgn val="ctr"/>
        <c:lblOffset val="100"/>
        <c:tickLblSkip val="3"/>
        <c:tickMarkSkip val="1"/>
        <c:noMultiLvlLbl val="0"/>
      </c:catAx>
      <c:valAx>
        <c:axId val="17595456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$ thousands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175953024"/>
        <c:crosses val="autoZero"/>
        <c:crossBetween val="between"/>
      </c:valAx>
      <c:spPr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:spPr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0211" l="0.70000000000000062" r="0.70000000000000062" t="0.75000000000000211" header="0.30000000000000032" footer="0.30000000000000032"/>
    <c:pageSetup orientation="landscape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Creekmoor POA</a:t>
            </a:r>
          </a:p>
          <a:p>
            <a:pPr>
              <a:defRPr/>
            </a:pPr>
            <a:r>
              <a:rPr lang="en-US" sz="1400" baseline="0">
                <a:solidFill>
                  <a:srgbClr val="010DFF"/>
                </a:solidFill>
              </a:rPr>
              <a:t>EBITDA, Golf vs. Non-Golf Operations</a:t>
            </a:r>
          </a:p>
        </c:rich>
      </c:tx>
      <c:layout>
        <c:manualLayout>
          <c:xMode val="edge"/>
          <c:yMode val="edge"/>
          <c:x val="0.25676391203978155"/>
          <c:y val="3.635485804198102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1356756549346265E-2"/>
          <c:y val="0.21074088703306623"/>
          <c:w val="0.74953304560112066"/>
          <c:h val="0.70983913953104794"/>
        </c:manualLayout>
      </c:layout>
      <c:lineChart>
        <c:grouping val="standard"/>
        <c:varyColors val="0"/>
        <c:ser>
          <c:idx val="1"/>
          <c:order val="0"/>
          <c:tx>
            <c:v>Non Golf OPS</c:v>
          </c:tx>
          <c:marker>
            <c:symbol val="none"/>
          </c:marker>
          <c:cat>
            <c:numLit>
              <c:formatCode>General</c:formatCode>
              <c:ptCount val="29"/>
              <c:pt idx="0">
                <c:v>2012</c:v>
              </c:pt>
              <c:pt idx="1">
                <c:v>2013</c:v>
              </c:pt>
              <c:pt idx="2">
                <c:v>2014</c:v>
              </c:pt>
              <c:pt idx="3">
                <c:v>2015</c:v>
              </c:pt>
              <c:pt idx="4">
                <c:v>2016</c:v>
              </c:pt>
              <c:pt idx="5">
                <c:v>2017</c:v>
              </c:pt>
              <c:pt idx="6">
                <c:v>2018</c:v>
              </c:pt>
              <c:pt idx="7">
                <c:v>2019</c:v>
              </c:pt>
              <c:pt idx="8">
                <c:v>2020</c:v>
              </c:pt>
              <c:pt idx="9">
                <c:v>2021</c:v>
              </c:pt>
              <c:pt idx="10">
                <c:v>2022</c:v>
              </c:pt>
              <c:pt idx="11">
                <c:v>2023</c:v>
              </c:pt>
              <c:pt idx="12">
                <c:v>2024</c:v>
              </c:pt>
              <c:pt idx="13">
                <c:v>2025</c:v>
              </c:pt>
              <c:pt idx="14">
                <c:v>2026</c:v>
              </c:pt>
              <c:pt idx="15">
                <c:v>2027</c:v>
              </c:pt>
              <c:pt idx="16">
                <c:v>2028</c:v>
              </c:pt>
              <c:pt idx="17">
                <c:v>2029</c:v>
              </c:pt>
              <c:pt idx="18">
                <c:v>2030</c:v>
              </c:pt>
              <c:pt idx="19">
                <c:v>2031</c:v>
              </c:pt>
              <c:pt idx="20">
                <c:v>2032</c:v>
              </c:pt>
              <c:pt idx="21">
                <c:v>2033</c:v>
              </c:pt>
              <c:pt idx="22">
                <c:v>2034</c:v>
              </c:pt>
              <c:pt idx="23">
                <c:v>2035</c:v>
              </c:pt>
              <c:pt idx="24">
                <c:v>2036</c:v>
              </c:pt>
              <c:pt idx="25">
                <c:v>2037</c:v>
              </c:pt>
              <c:pt idx="26">
                <c:v>2038</c:v>
              </c:pt>
              <c:pt idx="27">
                <c:v>2039</c:v>
              </c:pt>
              <c:pt idx="28">
                <c:v>2040</c:v>
              </c:pt>
            </c:numLit>
          </c:cat>
          <c:val>
            <c:numLit>
              <c:formatCode>General</c:formatCode>
              <c:ptCount val="32"/>
              <c:pt idx="0">
                <c:v>-299</c:v>
              </c:pt>
              <c:pt idx="1">
                <c:v>-200</c:v>
              </c:pt>
              <c:pt idx="2">
                <c:v>-214</c:v>
              </c:pt>
              <c:pt idx="3">
                <c:v>-173</c:v>
              </c:pt>
              <c:pt idx="4">
                <c:v>-161</c:v>
              </c:pt>
              <c:pt idx="5">
                <c:v>-122</c:v>
              </c:pt>
              <c:pt idx="6">
                <c:v>-143</c:v>
              </c:pt>
              <c:pt idx="7">
                <c:v>-38</c:v>
              </c:pt>
              <c:pt idx="8">
                <c:v>65</c:v>
              </c:pt>
              <c:pt idx="9">
                <c:v>106</c:v>
              </c:pt>
              <c:pt idx="10">
                <c:v>123</c:v>
              </c:pt>
              <c:pt idx="11">
                <c:v>180.03575000000012</c:v>
              </c:pt>
              <c:pt idx="12">
                <c:v>248.81120706250013</c:v>
              </c:pt>
              <c:pt idx="13">
                <c:v>323.68775393623503</c:v>
              </c:pt>
              <c:pt idx="14">
                <c:v>405.09524830742964</c:v>
              </c:pt>
              <c:pt idx="15">
                <c:v>493.4910645330753</c:v>
              </c:pt>
              <c:pt idx="16">
                <c:v>589.36176477739775</c:v>
              </c:pt>
              <c:pt idx="17">
                <c:v>693.22486829654895</c:v>
              </c:pt>
              <c:pt idx="18">
                <c:v>805.630724502661</c:v>
              </c:pt>
              <c:pt idx="19">
                <c:v>927.16449575594629</c:v>
              </c:pt>
              <c:pt idx="20">
                <c:v>1058.448256168678</c:v>
              </c:pt>
              <c:pt idx="21">
                <c:v>1200.1432130587345</c:v>
              </c:pt>
              <c:pt idx="22">
                <c:v>1352.9520580638302</c:v>
              </c:pt>
              <c:pt idx="23">
                <c:v>1517.6214553218097</c:v>
              </c:pt>
              <c:pt idx="24">
                <c:v>1658.0935578392287</c:v>
              </c:pt>
              <c:pt idx="25">
                <c:v>1760.3879886374916</c:v>
              </c:pt>
              <c:pt idx="26">
                <c:v>1822.0036541515778</c:v>
              </c:pt>
              <c:pt idx="27">
                <c:v>1857.0786353388694</c:v>
              </c:pt>
              <c:pt idx="28">
                <c:v>1892.4465036640613</c:v>
              </c:pt>
              <c:pt idx="29">
                <c:v>1851.7180665986211</c:v>
              </c:pt>
              <c:pt idx="30">
                <c:v>1809.3205015512644</c:v>
              </c:pt>
              <c:pt idx="31">
                <c:v>1765.1757916966133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0-A07A-437D-9C52-79A578EBD78A}"/>
            </c:ext>
          </c:extLst>
        </c:ser>
        <c:ser>
          <c:idx val="2"/>
          <c:order val="1"/>
          <c:tx>
            <c:v>Golf Ops</c:v>
          </c:tx>
          <c:spPr>
            <a:ln>
              <a:solidFill>
                <a:srgbClr val="010DFF"/>
              </a:solidFill>
            </a:ln>
          </c:spPr>
          <c:marker>
            <c:symbol val="none"/>
          </c:marker>
          <c:cat>
            <c:numLit>
              <c:formatCode>General</c:formatCode>
              <c:ptCount val="29"/>
              <c:pt idx="0">
                <c:v>2012</c:v>
              </c:pt>
              <c:pt idx="1">
                <c:v>2013</c:v>
              </c:pt>
              <c:pt idx="2">
                <c:v>2014</c:v>
              </c:pt>
              <c:pt idx="3">
                <c:v>2015</c:v>
              </c:pt>
              <c:pt idx="4">
                <c:v>2016</c:v>
              </c:pt>
              <c:pt idx="5">
                <c:v>2017</c:v>
              </c:pt>
              <c:pt idx="6">
                <c:v>2018</c:v>
              </c:pt>
              <c:pt idx="7">
                <c:v>2019</c:v>
              </c:pt>
              <c:pt idx="8">
                <c:v>2020</c:v>
              </c:pt>
              <c:pt idx="9">
                <c:v>2021</c:v>
              </c:pt>
              <c:pt idx="10">
                <c:v>2022</c:v>
              </c:pt>
              <c:pt idx="11">
                <c:v>2023</c:v>
              </c:pt>
              <c:pt idx="12">
                <c:v>2024</c:v>
              </c:pt>
              <c:pt idx="13">
                <c:v>2025</c:v>
              </c:pt>
              <c:pt idx="14">
                <c:v>2026</c:v>
              </c:pt>
              <c:pt idx="15">
                <c:v>2027</c:v>
              </c:pt>
              <c:pt idx="16">
                <c:v>2028</c:v>
              </c:pt>
              <c:pt idx="17">
                <c:v>2029</c:v>
              </c:pt>
              <c:pt idx="18">
                <c:v>2030</c:v>
              </c:pt>
              <c:pt idx="19">
                <c:v>2031</c:v>
              </c:pt>
              <c:pt idx="20">
                <c:v>2032</c:v>
              </c:pt>
              <c:pt idx="21">
                <c:v>2033</c:v>
              </c:pt>
              <c:pt idx="22">
                <c:v>2034</c:v>
              </c:pt>
              <c:pt idx="23">
                <c:v>2035</c:v>
              </c:pt>
              <c:pt idx="24">
                <c:v>2036</c:v>
              </c:pt>
              <c:pt idx="25">
                <c:v>2037</c:v>
              </c:pt>
              <c:pt idx="26">
                <c:v>2038</c:v>
              </c:pt>
              <c:pt idx="27">
                <c:v>2039</c:v>
              </c:pt>
              <c:pt idx="28">
                <c:v>2040</c:v>
              </c:pt>
            </c:numLit>
          </c:cat>
          <c:val>
            <c:numLit>
              <c:formatCode>General</c:formatCode>
              <c:ptCount val="32"/>
              <c:pt idx="0">
                <c:v>-310</c:v>
              </c:pt>
              <c:pt idx="1">
                <c:v>-199</c:v>
              </c:pt>
              <c:pt idx="2">
                <c:v>-71</c:v>
              </c:pt>
              <c:pt idx="3">
                <c:v>-83</c:v>
              </c:pt>
              <c:pt idx="4">
                <c:v>-73</c:v>
              </c:pt>
              <c:pt idx="5">
                <c:v>-101</c:v>
              </c:pt>
              <c:pt idx="6">
                <c:v>-162</c:v>
              </c:pt>
              <c:pt idx="7">
                <c:v>-164</c:v>
              </c:pt>
              <c:pt idx="8">
                <c:v>-232</c:v>
              </c:pt>
              <c:pt idx="9">
                <c:v>-180</c:v>
              </c:pt>
              <c:pt idx="10">
                <c:v>-64</c:v>
              </c:pt>
              <c:pt idx="11">
                <c:v>-125.12499999999989</c:v>
              </c:pt>
              <c:pt idx="12">
                <c:v>-128.25312499999987</c:v>
              </c:pt>
              <c:pt idx="13">
                <c:v>-131.45945312499987</c:v>
              </c:pt>
              <c:pt idx="14">
                <c:v>-134.74593945312483</c:v>
              </c:pt>
              <c:pt idx="15">
                <c:v>-138.11458793945297</c:v>
              </c:pt>
              <c:pt idx="16">
                <c:v>-141.56745263793925</c:v>
              </c:pt>
              <c:pt idx="17">
                <c:v>-145.1066389538878</c:v>
              </c:pt>
              <c:pt idx="18">
                <c:v>-148.73430492773491</c:v>
              </c:pt>
              <c:pt idx="19">
                <c:v>-152.45266255092815</c:v>
              </c:pt>
              <c:pt idx="20">
                <c:v>-156.26397911470144</c:v>
              </c:pt>
              <c:pt idx="21">
                <c:v>-160.17057859256897</c:v>
              </c:pt>
              <c:pt idx="22">
                <c:v>-164.17484305738321</c:v>
              </c:pt>
              <c:pt idx="23">
                <c:v>-168.27921413381773</c:v>
              </c:pt>
              <c:pt idx="24">
                <c:v>-172.48619448716317</c:v>
              </c:pt>
              <c:pt idx="25">
                <c:v>-176.79834934934206</c:v>
              </c:pt>
              <c:pt idx="26">
                <c:v>-181.2183080830755</c:v>
              </c:pt>
              <c:pt idx="27">
                <c:v>-185.7487657851525</c:v>
              </c:pt>
              <c:pt idx="28">
                <c:v>-190.3924849297814</c:v>
              </c:pt>
              <c:pt idx="29">
                <c:v>-195.1522970530259</c:v>
              </c:pt>
              <c:pt idx="30">
                <c:v>-200.0311044793516</c:v>
              </c:pt>
              <c:pt idx="31">
                <c:v>-205.03188209133509</c:v>
              </c:pt>
            </c:numLit>
          </c:val>
          <c:smooth val="0"/>
          <c:extLst>
            <c:ext xmlns:c16="http://schemas.microsoft.com/office/drawing/2014/chart" uri="{C3380CC4-5D6E-409C-BE32-E72D297353CC}">
              <c16:uniqueId val="{00000001-A07A-437D-9C52-79A578EBD7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5862144"/>
        <c:axId val="175863680"/>
      </c:lineChart>
      <c:catAx>
        <c:axId val="17586214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low"/>
        <c:crossAx val="175863680"/>
        <c:crosses val="autoZero"/>
        <c:auto val="1"/>
        <c:lblAlgn val="ctr"/>
        <c:lblOffset val="100"/>
        <c:tickLblSkip val="3"/>
        <c:tickMarkSkip val="1"/>
        <c:noMultiLvlLbl val="0"/>
      </c:catAx>
      <c:valAx>
        <c:axId val="17586368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$ thousands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175862144"/>
        <c:crosses val="autoZero"/>
        <c:crossBetween val="between"/>
      </c:valAx>
      <c:spPr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:spPr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0211" l="0.70000000000000062" r="0.70000000000000062" t="0.75000000000000211" header="0.30000000000000032" footer="0.30000000000000032"/>
    <c:pageSetup orientation="landscape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Creekmoor POA</a:t>
            </a:r>
          </a:p>
          <a:p>
            <a:pPr>
              <a:defRPr/>
            </a:pPr>
            <a:r>
              <a:rPr lang="en-US" sz="1400" baseline="0">
                <a:solidFill>
                  <a:srgbClr val="010DFF"/>
                </a:solidFill>
              </a:rPr>
              <a:t>Loan Balance Forecast</a:t>
            </a:r>
          </a:p>
        </c:rich>
      </c:tx>
      <c:layout>
        <c:manualLayout>
          <c:xMode val="edge"/>
          <c:yMode val="edge"/>
          <c:x val="0.39316786810099558"/>
          <c:y val="2.956825656180833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1356756549346265E-2"/>
          <c:y val="0.21074088703306623"/>
          <c:w val="0.74953304560112066"/>
          <c:h val="0.70983913953104794"/>
        </c:manualLayout>
      </c:layout>
      <c:lineChart>
        <c:grouping val="standard"/>
        <c:varyColors val="0"/>
        <c:ser>
          <c:idx val="1"/>
          <c:order val="0"/>
          <c:tx>
            <c:v>WC LOAN</c:v>
          </c:tx>
          <c:spPr>
            <a:ln>
              <a:solidFill>
                <a:srgbClr val="FF0000"/>
              </a:solidFill>
            </a:ln>
          </c:spPr>
          <c:marker>
            <c:symbol val="none"/>
          </c:marker>
          <c:cat>
            <c:numRef>
              <c:f>'2021 Budget'!$C$3:$AH$3</c:f>
              <c:numCache>
                <c:formatCode>General</c:formatCode>
                <c:ptCount val="32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  <c:pt idx="15">
                  <c:v>2024</c:v>
                </c:pt>
                <c:pt idx="16">
                  <c:v>2025</c:v>
                </c:pt>
                <c:pt idx="17">
                  <c:v>2026</c:v>
                </c:pt>
                <c:pt idx="18">
                  <c:v>2027</c:v>
                </c:pt>
                <c:pt idx="19">
                  <c:v>2028</c:v>
                </c:pt>
                <c:pt idx="20">
                  <c:v>2029</c:v>
                </c:pt>
                <c:pt idx="21">
                  <c:v>2030</c:v>
                </c:pt>
                <c:pt idx="22">
                  <c:v>2031</c:v>
                </c:pt>
                <c:pt idx="23">
                  <c:v>2032</c:v>
                </c:pt>
                <c:pt idx="24">
                  <c:v>2033</c:v>
                </c:pt>
                <c:pt idx="25">
                  <c:v>2034</c:v>
                </c:pt>
                <c:pt idx="26">
                  <c:v>2035</c:v>
                </c:pt>
                <c:pt idx="27">
                  <c:v>2036</c:v>
                </c:pt>
                <c:pt idx="28">
                  <c:v>2037</c:v>
                </c:pt>
                <c:pt idx="29">
                  <c:v>2038</c:v>
                </c:pt>
                <c:pt idx="30">
                  <c:v>2039</c:v>
                </c:pt>
                <c:pt idx="31">
                  <c:v>2040</c:v>
                </c:pt>
              </c:numCache>
            </c:numRef>
          </c:cat>
          <c:val>
            <c:numRef>
              <c:f>'2021 Budget'!$C$45:$AH$45</c:f>
              <c:numCache>
                <c:formatCode>_(* #,##0_);_(* \(#,##0\);_(* "-"??_);_(@_)</c:formatCode>
                <c:ptCount val="32"/>
                <c:pt idx="0">
                  <c:v>4735</c:v>
                </c:pt>
                <c:pt idx="1">
                  <c:v>5318</c:v>
                </c:pt>
                <c:pt idx="2">
                  <c:v>5835</c:v>
                </c:pt>
                <c:pt idx="3">
                  <c:v>6332</c:v>
                </c:pt>
                <c:pt idx="4">
                  <c:v>6730</c:v>
                </c:pt>
                <c:pt idx="5" formatCode="#,##0_);[Red]\(#,##0\)">
                  <c:v>7254</c:v>
                </c:pt>
                <c:pt idx="6" formatCode="#,##0_);[Red]\(#,##0\)">
                  <c:v>7842</c:v>
                </c:pt>
                <c:pt idx="7" formatCode="#,##0_);[Red]\(#,##0\)">
                  <c:v>8294</c:v>
                </c:pt>
                <c:pt idx="8" formatCode="#,##0_);[Red]\(#,##0\)">
                  <c:v>8790</c:v>
                </c:pt>
                <c:pt idx="9" formatCode="#,##0_);[Red]\(#,##0\)">
                  <c:v>9125</c:v>
                </c:pt>
                <c:pt idx="10" formatCode="#,##0_);[Red]\(#,##0\)">
                  <c:v>9482.9984100000001</c:v>
                </c:pt>
                <c:pt idx="11" formatCode="#,##0_);[Red]\(#,##0\)">
                  <c:v>9728.9984100000001</c:v>
                </c:pt>
                <c:pt idx="12" formatCode="#,##0_);[Red]\(#,##0\)">
                  <c:v>9860.8906734005868</c:v>
                </c:pt>
                <c:pt idx="13" formatCode="#,##0_);[Red]\(#,##0\)">
                  <c:v>9934.8037196795194</c:v>
                </c:pt>
                <c:pt idx="14" formatCode="#,##0_);[Red]\(#,##0\)">
                  <c:v>9948.8511126048834</c:v>
                </c:pt>
                <c:pt idx="15" formatCode="#,##0_);[Red]\(#,##0\)">
                  <c:v>9901.7638855248224</c:v>
                </c:pt>
                <c:pt idx="16" formatCode="#,##0_);[Red]\(#,##0\)">
                  <c:v>9731.4243950245564</c:v>
                </c:pt>
                <c:pt idx="17" formatCode="#,##0_);[Red]\(#,##0\)">
                  <c:v>9433.6872319386348</c:v>
                </c:pt>
                <c:pt idx="18" formatCode="#,##0_);[Red]\(#,##0\)">
                  <c:v>9004.2627555653762</c:v>
                </c:pt>
                <c:pt idx="19" formatCode="#,##0_);[Red]\(#,##0\)">
                  <c:v>8438.7118088571369</c:v>
                </c:pt>
                <c:pt idx="20" formatCode="#,##0_);[Red]\(#,##0\)">
                  <c:v>7732.44022599044</c:v>
                </c:pt>
                <c:pt idx="21" formatCode="#,##0_);[Red]\(#,##0\)">
                  <c:v>7000.6931234776466</c:v>
                </c:pt>
                <c:pt idx="22" formatCode="#,##0_);[Red]\(#,##0\)">
                  <c:v>6242.4489655752695</c:v>
                </c:pt>
                <c:pt idx="23" formatCode="#,##0_);[Red]\(#,##0\)">
                  <c:v>5456.6401443175091</c:v>
                </c:pt>
                <c:pt idx="24" formatCode="#,##0_);[Red]\(#,##0\)">
                  <c:v>4642.7580946071303</c:v>
                </c:pt>
                <c:pt idx="25" formatCode="#,##0_);[Red]\(#,##0\)">
                  <c:v>3800.5029050845515</c:v>
                </c:pt>
                <c:pt idx="26" formatCode="#,##0_);[Red]\(#,##0\)">
                  <c:v>2929.5984724045375</c:v>
                </c:pt>
                <c:pt idx="27" formatCode="#,##0_);[Red]\(#,##0\)">
                  <c:v>2029.5291262350415</c:v>
                </c:pt>
                <c:pt idx="28" formatCode="#,##0_);[Red]\(#,##0\)">
                  <c:v>1099.3254939019707</c:v>
                </c:pt>
                <c:pt idx="29" formatCode="#,##0_);[Red]\(#,##0\)">
                  <c:v>139.32549390197073</c:v>
                </c:pt>
                <c:pt idx="30" formatCode="#,##0_);[Red]\(#,##0\)">
                  <c:v>-39.674506098029269</c:v>
                </c:pt>
                <c:pt idx="31" formatCode="#,##0_);[Red]\(#,##0\)">
                  <c:v>-39.674506098029269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EE3-4838-94C5-0ED65796ED3C}"/>
            </c:ext>
          </c:extLst>
        </c:ser>
        <c:ser>
          <c:idx val="2"/>
          <c:order val="1"/>
          <c:tx>
            <c:v>INFR LOAN</c:v>
          </c:tx>
          <c:spPr>
            <a:ln>
              <a:solidFill>
                <a:srgbClr val="010DFF"/>
              </a:solidFill>
            </a:ln>
          </c:spPr>
          <c:marker>
            <c:symbol val="none"/>
          </c:marker>
          <c:cat>
            <c:numRef>
              <c:f>'2021 Budget'!$C$3:$AH$3</c:f>
              <c:numCache>
                <c:formatCode>General</c:formatCode>
                <c:ptCount val="32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  <c:pt idx="15">
                  <c:v>2024</c:v>
                </c:pt>
                <c:pt idx="16">
                  <c:v>2025</c:v>
                </c:pt>
                <c:pt idx="17">
                  <c:v>2026</c:v>
                </c:pt>
                <c:pt idx="18">
                  <c:v>2027</c:v>
                </c:pt>
                <c:pt idx="19">
                  <c:v>2028</c:v>
                </c:pt>
                <c:pt idx="20">
                  <c:v>2029</c:v>
                </c:pt>
                <c:pt idx="21">
                  <c:v>2030</c:v>
                </c:pt>
                <c:pt idx="22">
                  <c:v>2031</c:v>
                </c:pt>
                <c:pt idx="23">
                  <c:v>2032</c:v>
                </c:pt>
                <c:pt idx="24">
                  <c:v>2033</c:v>
                </c:pt>
                <c:pt idx="25">
                  <c:v>2034</c:v>
                </c:pt>
                <c:pt idx="26">
                  <c:v>2035</c:v>
                </c:pt>
                <c:pt idx="27">
                  <c:v>2036</c:v>
                </c:pt>
                <c:pt idx="28">
                  <c:v>2037</c:v>
                </c:pt>
                <c:pt idx="29">
                  <c:v>2038</c:v>
                </c:pt>
                <c:pt idx="30">
                  <c:v>2039</c:v>
                </c:pt>
                <c:pt idx="31">
                  <c:v>2040</c:v>
                </c:pt>
              </c:numCache>
            </c:numRef>
          </c:cat>
          <c:val>
            <c:numRef>
              <c:f>'2021 Budget'!$C$46:$AH$46</c:f>
              <c:numCache>
                <c:formatCode>_(* #,##0_);_(* \(#,##0\);_(* "-"??_);_(@_)</c:formatCode>
                <c:ptCount val="32"/>
                <c:pt idx="0">
                  <c:v>4731</c:v>
                </c:pt>
                <c:pt idx="1">
                  <c:v>4752</c:v>
                </c:pt>
                <c:pt idx="2">
                  <c:v>4776</c:v>
                </c:pt>
                <c:pt idx="3">
                  <c:v>5144</c:v>
                </c:pt>
                <c:pt idx="4">
                  <c:v>5444</c:v>
                </c:pt>
                <c:pt idx="5">
                  <c:v>6424</c:v>
                </c:pt>
                <c:pt idx="6">
                  <c:v>6773</c:v>
                </c:pt>
                <c:pt idx="7">
                  <c:v>7482</c:v>
                </c:pt>
                <c:pt idx="8">
                  <c:v>7500</c:v>
                </c:pt>
                <c:pt idx="9">
                  <c:v>7500</c:v>
                </c:pt>
                <c:pt idx="10">
                  <c:v>7500</c:v>
                </c:pt>
                <c:pt idx="11">
                  <c:v>7500</c:v>
                </c:pt>
                <c:pt idx="12">
                  <c:v>7500</c:v>
                </c:pt>
                <c:pt idx="13">
                  <c:v>7500</c:v>
                </c:pt>
                <c:pt idx="14">
                  <c:v>7500</c:v>
                </c:pt>
                <c:pt idx="15">
                  <c:v>7500</c:v>
                </c:pt>
                <c:pt idx="16">
                  <c:v>7500</c:v>
                </c:pt>
                <c:pt idx="17">
                  <c:v>7500</c:v>
                </c:pt>
                <c:pt idx="18">
                  <c:v>7500</c:v>
                </c:pt>
                <c:pt idx="19">
                  <c:v>7500</c:v>
                </c:pt>
                <c:pt idx="20">
                  <c:v>7500</c:v>
                </c:pt>
                <c:pt idx="21">
                  <c:v>7500</c:v>
                </c:pt>
                <c:pt idx="22">
                  <c:v>7500</c:v>
                </c:pt>
                <c:pt idx="23">
                  <c:v>7500</c:v>
                </c:pt>
                <c:pt idx="24">
                  <c:v>7500</c:v>
                </c:pt>
                <c:pt idx="25">
                  <c:v>7500</c:v>
                </c:pt>
                <c:pt idx="26">
                  <c:v>7500</c:v>
                </c:pt>
                <c:pt idx="27">
                  <c:v>7500</c:v>
                </c:pt>
                <c:pt idx="28">
                  <c:v>7500</c:v>
                </c:pt>
                <c:pt idx="29">
                  <c:v>7500</c:v>
                </c:pt>
                <c:pt idx="30">
                  <c:v>4965.4262709347722</c:v>
                </c:pt>
                <c:pt idx="31">
                  <c:v>2208.0131986429137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EE3-4838-94C5-0ED65796ED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5953024"/>
        <c:axId val="175954560"/>
      </c:lineChart>
      <c:catAx>
        <c:axId val="17595302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low"/>
        <c:crossAx val="175954560"/>
        <c:crosses val="autoZero"/>
        <c:auto val="1"/>
        <c:lblAlgn val="ctr"/>
        <c:lblOffset val="100"/>
        <c:tickLblSkip val="3"/>
        <c:tickMarkSkip val="1"/>
        <c:noMultiLvlLbl val="0"/>
      </c:catAx>
      <c:valAx>
        <c:axId val="17595456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$ thousands</a:t>
                </a:r>
              </a:p>
            </c:rich>
          </c:tx>
          <c:overlay val="0"/>
        </c:title>
        <c:numFmt formatCode="_(* #,##0_);_(* \(#,##0\);_(* &quot;-&quot;??_);_(@_)" sourceLinked="1"/>
        <c:majorTickMark val="out"/>
        <c:minorTickMark val="none"/>
        <c:tickLblPos val="nextTo"/>
        <c:crossAx val="175953024"/>
        <c:crosses val="autoZero"/>
        <c:crossBetween val="between"/>
      </c:valAx>
      <c:spPr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:spPr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0211" l="0.70000000000000062" r="0.70000000000000062" t="0.75000000000000211" header="0.30000000000000032" footer="0.30000000000000032"/>
    <c:pageSetup orientation="landscape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Creekmoor POA</a:t>
            </a:r>
          </a:p>
          <a:p>
            <a:pPr>
              <a:defRPr/>
            </a:pPr>
            <a:r>
              <a:rPr lang="en-US" sz="1400" baseline="0">
                <a:solidFill>
                  <a:srgbClr val="010DFF"/>
                </a:solidFill>
              </a:rPr>
              <a:t>EBITDA, Golf vs. Non-Golf Operations</a:t>
            </a:r>
          </a:p>
        </c:rich>
      </c:tx>
      <c:layout>
        <c:manualLayout>
          <c:xMode val="edge"/>
          <c:yMode val="edge"/>
          <c:x val="0.25676391203978155"/>
          <c:y val="3.635485804198102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1356756549346265E-2"/>
          <c:y val="0.21074088703306623"/>
          <c:w val="0.74953304560112066"/>
          <c:h val="0.70983913953104794"/>
        </c:manualLayout>
      </c:layout>
      <c:lineChart>
        <c:grouping val="standard"/>
        <c:varyColors val="0"/>
        <c:ser>
          <c:idx val="1"/>
          <c:order val="0"/>
          <c:tx>
            <c:v>Non Golf OPS</c:v>
          </c:tx>
          <c:marker>
            <c:symbol val="none"/>
          </c:marker>
          <c:cat>
            <c:numRef>
              <c:f>'2021 Budget'!$C$3:$AH$3</c:f>
              <c:numCache>
                <c:formatCode>General</c:formatCode>
                <c:ptCount val="32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  <c:pt idx="15">
                  <c:v>2024</c:v>
                </c:pt>
                <c:pt idx="16">
                  <c:v>2025</c:v>
                </c:pt>
                <c:pt idx="17">
                  <c:v>2026</c:v>
                </c:pt>
                <c:pt idx="18">
                  <c:v>2027</c:v>
                </c:pt>
                <c:pt idx="19">
                  <c:v>2028</c:v>
                </c:pt>
                <c:pt idx="20">
                  <c:v>2029</c:v>
                </c:pt>
                <c:pt idx="21">
                  <c:v>2030</c:v>
                </c:pt>
                <c:pt idx="22">
                  <c:v>2031</c:v>
                </c:pt>
                <c:pt idx="23">
                  <c:v>2032</c:v>
                </c:pt>
                <c:pt idx="24">
                  <c:v>2033</c:v>
                </c:pt>
                <c:pt idx="25">
                  <c:v>2034</c:v>
                </c:pt>
                <c:pt idx="26">
                  <c:v>2035</c:v>
                </c:pt>
                <c:pt idx="27">
                  <c:v>2036</c:v>
                </c:pt>
                <c:pt idx="28">
                  <c:v>2037</c:v>
                </c:pt>
                <c:pt idx="29">
                  <c:v>2038</c:v>
                </c:pt>
                <c:pt idx="30">
                  <c:v>2039</c:v>
                </c:pt>
                <c:pt idx="31">
                  <c:v>2040</c:v>
                </c:pt>
              </c:numCache>
            </c:numRef>
          </c:cat>
          <c:val>
            <c:numRef>
              <c:f>'2021 Budget'!$C$75:$AH$75</c:f>
              <c:numCache>
                <c:formatCode>#,##0_);\(#,##0\)</c:formatCode>
                <c:ptCount val="32"/>
                <c:pt idx="0">
                  <c:v>-299</c:v>
                </c:pt>
                <c:pt idx="1">
                  <c:v>-200</c:v>
                </c:pt>
                <c:pt idx="2">
                  <c:v>-214</c:v>
                </c:pt>
                <c:pt idx="3">
                  <c:v>-173</c:v>
                </c:pt>
                <c:pt idx="4">
                  <c:v>-161</c:v>
                </c:pt>
                <c:pt idx="5">
                  <c:v>-122</c:v>
                </c:pt>
                <c:pt idx="6">
                  <c:v>-143</c:v>
                </c:pt>
                <c:pt idx="7">
                  <c:v>-38</c:v>
                </c:pt>
                <c:pt idx="8">
                  <c:v>65</c:v>
                </c:pt>
                <c:pt idx="9">
                  <c:v>106</c:v>
                </c:pt>
                <c:pt idx="10">
                  <c:v>66.555650000000128</c:v>
                </c:pt>
                <c:pt idx="11">
                  <c:v>252.29395000000017</c:v>
                </c:pt>
                <c:pt idx="12">
                  <c:v>317.59648603800088</c:v>
                </c:pt>
                <c:pt idx="13">
                  <c:v>409.86938643895121</c:v>
                </c:pt>
                <c:pt idx="14">
                  <c:v>499.17334217492498</c:v>
                </c:pt>
                <c:pt idx="15">
                  <c:v>595.97988043054784</c:v>
                </c:pt>
                <c:pt idx="16">
                  <c:v>700.80592107874952</c:v>
                </c:pt>
                <c:pt idx="17">
                  <c:v>814.2010675612089</c:v>
                </c:pt>
                <c:pt idx="18">
                  <c:v>936.74957664649514</c:v>
                </c:pt>
                <c:pt idx="19">
                  <c:v>1069.0724432976153</c:v>
                </c:pt>
                <c:pt idx="20">
                  <c:v>1211.8296072315959</c:v>
                </c:pt>
                <c:pt idx="21">
                  <c:v>1365.7222881240796</c:v>
                </c:pt>
                <c:pt idx="22">
                  <c:v>1531.4954568029152</c:v>
                </c:pt>
                <c:pt idx="23">
                  <c:v>1709.9404501873851</c:v>
                </c:pt>
                <c:pt idx="24">
                  <c:v>1864.5185888738611</c:v>
                </c:pt>
                <c:pt idx="25">
                  <c:v>1981.3716666169762</c:v>
                </c:pt>
                <c:pt idx="26">
                  <c:v>2058.4338849297069</c:v>
                </c:pt>
                <c:pt idx="27">
                  <c:v>2109.8947320529487</c:v>
                </c:pt>
                <c:pt idx="28">
                  <c:v>2162.6421003542723</c:v>
                </c:pt>
                <c:pt idx="29">
                  <c:v>2216.7081528631293</c:v>
                </c:pt>
                <c:pt idx="30">
                  <c:v>2272.1258566847068</c:v>
                </c:pt>
                <c:pt idx="31">
                  <c:v>2328.9290031018245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0F6-4D20-8927-A96623ECD60B}"/>
            </c:ext>
          </c:extLst>
        </c:ser>
        <c:ser>
          <c:idx val="2"/>
          <c:order val="1"/>
          <c:tx>
            <c:v>Golf Ops</c:v>
          </c:tx>
          <c:spPr>
            <a:ln>
              <a:solidFill>
                <a:srgbClr val="010DFF"/>
              </a:solidFill>
            </a:ln>
          </c:spPr>
          <c:marker>
            <c:symbol val="none"/>
          </c:marker>
          <c:cat>
            <c:numRef>
              <c:f>'2021 Budget'!$C$3:$AH$3</c:f>
              <c:numCache>
                <c:formatCode>General</c:formatCode>
                <c:ptCount val="32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  <c:pt idx="15">
                  <c:v>2024</c:v>
                </c:pt>
                <c:pt idx="16">
                  <c:v>2025</c:v>
                </c:pt>
                <c:pt idx="17">
                  <c:v>2026</c:v>
                </c:pt>
                <c:pt idx="18">
                  <c:v>2027</c:v>
                </c:pt>
                <c:pt idx="19">
                  <c:v>2028</c:v>
                </c:pt>
                <c:pt idx="20">
                  <c:v>2029</c:v>
                </c:pt>
                <c:pt idx="21">
                  <c:v>2030</c:v>
                </c:pt>
                <c:pt idx="22">
                  <c:v>2031</c:v>
                </c:pt>
                <c:pt idx="23">
                  <c:v>2032</c:v>
                </c:pt>
                <c:pt idx="24">
                  <c:v>2033</c:v>
                </c:pt>
                <c:pt idx="25">
                  <c:v>2034</c:v>
                </c:pt>
                <c:pt idx="26">
                  <c:v>2035</c:v>
                </c:pt>
                <c:pt idx="27">
                  <c:v>2036</c:v>
                </c:pt>
                <c:pt idx="28">
                  <c:v>2037</c:v>
                </c:pt>
                <c:pt idx="29">
                  <c:v>2038</c:v>
                </c:pt>
                <c:pt idx="30">
                  <c:v>2039</c:v>
                </c:pt>
                <c:pt idx="31">
                  <c:v>2040</c:v>
                </c:pt>
              </c:numCache>
            </c:numRef>
          </c:cat>
          <c:val>
            <c:numRef>
              <c:f>'2021 Budget'!$C$76:$AH$76</c:f>
              <c:numCache>
                <c:formatCode>#,##0_);\(#,##0\)</c:formatCode>
                <c:ptCount val="32"/>
                <c:pt idx="0">
                  <c:v>-310</c:v>
                </c:pt>
                <c:pt idx="1">
                  <c:v>-199</c:v>
                </c:pt>
                <c:pt idx="2">
                  <c:v>-71</c:v>
                </c:pt>
                <c:pt idx="3">
                  <c:v>-83</c:v>
                </c:pt>
                <c:pt idx="4">
                  <c:v>-73</c:v>
                </c:pt>
                <c:pt idx="5">
                  <c:v>-101</c:v>
                </c:pt>
                <c:pt idx="6">
                  <c:v>-162</c:v>
                </c:pt>
                <c:pt idx="7">
                  <c:v>-164</c:v>
                </c:pt>
                <c:pt idx="8">
                  <c:v>-232</c:v>
                </c:pt>
                <c:pt idx="9">
                  <c:v>-180</c:v>
                </c:pt>
                <c:pt idx="10">
                  <c:v>-129.12335000000041</c:v>
                </c:pt>
                <c:pt idx="11">
                  <c:v>41.534287000000006</c:v>
                </c:pt>
                <c:pt idx="12">
                  <c:v>-52.969721458708818</c:v>
                </c:pt>
                <c:pt idx="13">
                  <c:v>-5.8139644951764922</c:v>
                </c:pt>
                <c:pt idx="14">
                  <c:v>44.440686392443922</c:v>
                </c:pt>
                <c:pt idx="15">
                  <c:v>45.551703552255049</c:v>
                </c:pt>
                <c:pt idx="16">
                  <c:v>46.690496141061317</c:v>
                </c:pt>
                <c:pt idx="17">
                  <c:v>47.857758544588023</c:v>
                </c:pt>
                <c:pt idx="18">
                  <c:v>49.054202508202707</c:v>
                </c:pt>
                <c:pt idx="19">
                  <c:v>50.280557570907831</c:v>
                </c:pt>
                <c:pt idx="20">
                  <c:v>51.537571510180442</c:v>
                </c:pt>
                <c:pt idx="21">
                  <c:v>52.826010797934941</c:v>
                </c:pt>
                <c:pt idx="22">
                  <c:v>54.146661067883315</c:v>
                </c:pt>
                <c:pt idx="23">
                  <c:v>55.500327594580313</c:v>
                </c:pt>
                <c:pt idx="24">
                  <c:v>56.887835784445087</c:v>
                </c:pt>
                <c:pt idx="25">
                  <c:v>58.310031679056237</c:v>
                </c:pt>
                <c:pt idx="26">
                  <c:v>59.76778247103266</c:v>
                </c:pt>
                <c:pt idx="27">
                  <c:v>61.261977032808318</c:v>
                </c:pt>
                <c:pt idx="28">
                  <c:v>62.793526458628548</c:v>
                </c:pt>
                <c:pt idx="29">
                  <c:v>64.363364620094217</c:v>
                </c:pt>
                <c:pt idx="30">
                  <c:v>65.972448735597027</c:v>
                </c:pt>
                <c:pt idx="31">
                  <c:v>67.621759953986839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0F6-4D20-8927-A96623ECD6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5862144"/>
        <c:axId val="175863680"/>
      </c:lineChart>
      <c:catAx>
        <c:axId val="17586214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low"/>
        <c:crossAx val="175863680"/>
        <c:crosses val="autoZero"/>
        <c:auto val="1"/>
        <c:lblAlgn val="ctr"/>
        <c:lblOffset val="100"/>
        <c:tickLblSkip val="3"/>
        <c:tickMarkSkip val="1"/>
        <c:noMultiLvlLbl val="0"/>
      </c:catAx>
      <c:valAx>
        <c:axId val="17586368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$ thousands</a:t>
                </a:r>
              </a:p>
            </c:rich>
          </c:tx>
          <c:overlay val="0"/>
        </c:title>
        <c:numFmt formatCode="#,##0_);\(#,##0\)" sourceLinked="1"/>
        <c:majorTickMark val="out"/>
        <c:minorTickMark val="none"/>
        <c:tickLblPos val="nextTo"/>
        <c:crossAx val="175862144"/>
        <c:crosses val="autoZero"/>
        <c:crossBetween val="between"/>
      </c:valAx>
      <c:spPr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:spPr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0211" l="0.70000000000000062" r="0.70000000000000062" t="0.75000000000000211" header="0.30000000000000032" footer="0.30000000000000032"/>
    <c:pageSetup orientation="landscape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Creekmoor POA</a:t>
            </a:r>
          </a:p>
          <a:p>
            <a:pPr>
              <a:defRPr/>
            </a:pPr>
            <a:r>
              <a:rPr lang="en-US" sz="1400" baseline="0">
                <a:solidFill>
                  <a:srgbClr val="010DFF"/>
                </a:solidFill>
              </a:rPr>
              <a:t>Loan Balance Forecast</a:t>
            </a:r>
          </a:p>
        </c:rich>
      </c:tx>
      <c:layout>
        <c:manualLayout>
          <c:xMode val="edge"/>
          <c:yMode val="edge"/>
          <c:x val="0.39316786810099558"/>
          <c:y val="2.956825656180833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1356756549346265E-2"/>
          <c:y val="0.21074088703306623"/>
          <c:w val="0.74953304560112066"/>
          <c:h val="0.70983913953104794"/>
        </c:manualLayout>
      </c:layout>
      <c:lineChart>
        <c:grouping val="standard"/>
        <c:varyColors val="0"/>
        <c:ser>
          <c:idx val="1"/>
          <c:order val="0"/>
          <c:tx>
            <c:v>WC LOAN</c:v>
          </c:tx>
          <c:spPr>
            <a:ln>
              <a:solidFill>
                <a:srgbClr val="FF0000"/>
              </a:solidFill>
            </a:ln>
          </c:spPr>
          <c:marker>
            <c:symbol val="none"/>
          </c:marker>
          <c:cat>
            <c:numRef>
              <c:f>'2021 Budget'!$C$3:$AH$3</c:f>
              <c:numCache>
                <c:formatCode>General</c:formatCode>
                <c:ptCount val="32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  <c:pt idx="15">
                  <c:v>2024</c:v>
                </c:pt>
                <c:pt idx="16">
                  <c:v>2025</c:v>
                </c:pt>
                <c:pt idx="17">
                  <c:v>2026</c:v>
                </c:pt>
                <c:pt idx="18">
                  <c:v>2027</c:v>
                </c:pt>
                <c:pt idx="19">
                  <c:v>2028</c:v>
                </c:pt>
                <c:pt idx="20">
                  <c:v>2029</c:v>
                </c:pt>
                <c:pt idx="21">
                  <c:v>2030</c:v>
                </c:pt>
                <c:pt idx="22">
                  <c:v>2031</c:v>
                </c:pt>
                <c:pt idx="23">
                  <c:v>2032</c:v>
                </c:pt>
                <c:pt idx="24">
                  <c:v>2033</c:v>
                </c:pt>
                <c:pt idx="25">
                  <c:v>2034</c:v>
                </c:pt>
                <c:pt idx="26">
                  <c:v>2035</c:v>
                </c:pt>
                <c:pt idx="27">
                  <c:v>2036</c:v>
                </c:pt>
                <c:pt idx="28">
                  <c:v>2037</c:v>
                </c:pt>
                <c:pt idx="29">
                  <c:v>2038</c:v>
                </c:pt>
                <c:pt idx="30">
                  <c:v>2039</c:v>
                </c:pt>
                <c:pt idx="31">
                  <c:v>2040</c:v>
                </c:pt>
              </c:numCache>
            </c:numRef>
          </c:cat>
          <c:val>
            <c:numRef>
              <c:f>'2021 Budget'!$C$45:$AH$45</c:f>
              <c:numCache>
                <c:formatCode>_(* #,##0_);_(* \(#,##0\);_(* "-"??_);_(@_)</c:formatCode>
                <c:ptCount val="32"/>
                <c:pt idx="0">
                  <c:v>4735</c:v>
                </c:pt>
                <c:pt idx="1">
                  <c:v>5318</c:v>
                </c:pt>
                <c:pt idx="2">
                  <c:v>5835</c:v>
                </c:pt>
                <c:pt idx="3">
                  <c:v>6332</c:v>
                </c:pt>
                <c:pt idx="4">
                  <c:v>6730</c:v>
                </c:pt>
                <c:pt idx="5" formatCode="#,##0_);[Red]\(#,##0\)">
                  <c:v>7254</c:v>
                </c:pt>
                <c:pt idx="6" formatCode="#,##0_);[Red]\(#,##0\)">
                  <c:v>7842</c:v>
                </c:pt>
                <c:pt idx="7" formatCode="#,##0_);[Red]\(#,##0\)">
                  <c:v>8294</c:v>
                </c:pt>
                <c:pt idx="8" formatCode="#,##0_);[Red]\(#,##0\)">
                  <c:v>8790</c:v>
                </c:pt>
                <c:pt idx="9" formatCode="#,##0_);[Red]\(#,##0\)">
                  <c:v>9125</c:v>
                </c:pt>
                <c:pt idx="10" formatCode="#,##0_);[Red]\(#,##0\)">
                  <c:v>9482.9984100000001</c:v>
                </c:pt>
                <c:pt idx="11" formatCode="#,##0_);[Red]\(#,##0\)">
                  <c:v>9728.9984100000001</c:v>
                </c:pt>
                <c:pt idx="12" formatCode="#,##0_);[Red]\(#,##0\)">
                  <c:v>9860.8906734005868</c:v>
                </c:pt>
                <c:pt idx="13" formatCode="#,##0_);[Red]\(#,##0\)">
                  <c:v>9934.8037196795194</c:v>
                </c:pt>
                <c:pt idx="14" formatCode="#,##0_);[Red]\(#,##0\)">
                  <c:v>9948.8511126048834</c:v>
                </c:pt>
                <c:pt idx="15" formatCode="#,##0_);[Red]\(#,##0\)">
                  <c:v>9901.7638855248224</c:v>
                </c:pt>
                <c:pt idx="16" formatCode="#,##0_);[Red]\(#,##0\)">
                  <c:v>9731.4243950245564</c:v>
                </c:pt>
                <c:pt idx="17" formatCode="#,##0_);[Red]\(#,##0\)">
                  <c:v>9433.6872319386348</c:v>
                </c:pt>
                <c:pt idx="18" formatCode="#,##0_);[Red]\(#,##0\)">
                  <c:v>9004.2627555653762</c:v>
                </c:pt>
                <c:pt idx="19" formatCode="#,##0_);[Red]\(#,##0\)">
                  <c:v>8438.7118088571369</c:v>
                </c:pt>
                <c:pt idx="20" formatCode="#,##0_);[Red]\(#,##0\)">
                  <c:v>7732.44022599044</c:v>
                </c:pt>
                <c:pt idx="21" formatCode="#,##0_);[Red]\(#,##0\)">
                  <c:v>7000.6931234776466</c:v>
                </c:pt>
                <c:pt idx="22" formatCode="#,##0_);[Red]\(#,##0\)">
                  <c:v>6242.4489655752695</c:v>
                </c:pt>
                <c:pt idx="23" formatCode="#,##0_);[Red]\(#,##0\)">
                  <c:v>5456.6401443175091</c:v>
                </c:pt>
                <c:pt idx="24" formatCode="#,##0_);[Red]\(#,##0\)">
                  <c:v>4642.7580946071303</c:v>
                </c:pt>
                <c:pt idx="25" formatCode="#,##0_);[Red]\(#,##0\)">
                  <c:v>3800.5029050845515</c:v>
                </c:pt>
                <c:pt idx="26" formatCode="#,##0_);[Red]\(#,##0\)">
                  <c:v>2929.5984724045375</c:v>
                </c:pt>
                <c:pt idx="27" formatCode="#,##0_);[Red]\(#,##0\)">
                  <c:v>2029.5291262350415</c:v>
                </c:pt>
                <c:pt idx="28" formatCode="#,##0_);[Red]\(#,##0\)">
                  <c:v>1099.3254939019707</c:v>
                </c:pt>
                <c:pt idx="29" formatCode="#,##0_);[Red]\(#,##0\)">
                  <c:v>139.32549390197073</c:v>
                </c:pt>
                <c:pt idx="30" formatCode="#,##0_);[Red]\(#,##0\)">
                  <c:v>-39.674506098029269</c:v>
                </c:pt>
                <c:pt idx="31" formatCode="#,##0_);[Red]\(#,##0\)">
                  <c:v>-39.674506098029269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312-45F7-8403-257C5AD2C560}"/>
            </c:ext>
          </c:extLst>
        </c:ser>
        <c:ser>
          <c:idx val="2"/>
          <c:order val="1"/>
          <c:tx>
            <c:v>INFR LOAN</c:v>
          </c:tx>
          <c:spPr>
            <a:ln>
              <a:solidFill>
                <a:srgbClr val="010DFF"/>
              </a:solidFill>
            </a:ln>
          </c:spPr>
          <c:marker>
            <c:symbol val="none"/>
          </c:marker>
          <c:cat>
            <c:numRef>
              <c:f>'2021 Budget'!$C$3:$AH$3</c:f>
              <c:numCache>
                <c:formatCode>General</c:formatCode>
                <c:ptCount val="32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  <c:pt idx="15">
                  <c:v>2024</c:v>
                </c:pt>
                <c:pt idx="16">
                  <c:v>2025</c:v>
                </c:pt>
                <c:pt idx="17">
                  <c:v>2026</c:v>
                </c:pt>
                <c:pt idx="18">
                  <c:v>2027</c:v>
                </c:pt>
                <c:pt idx="19">
                  <c:v>2028</c:v>
                </c:pt>
                <c:pt idx="20">
                  <c:v>2029</c:v>
                </c:pt>
                <c:pt idx="21">
                  <c:v>2030</c:v>
                </c:pt>
                <c:pt idx="22">
                  <c:v>2031</c:v>
                </c:pt>
                <c:pt idx="23">
                  <c:v>2032</c:v>
                </c:pt>
                <c:pt idx="24">
                  <c:v>2033</c:v>
                </c:pt>
                <c:pt idx="25">
                  <c:v>2034</c:v>
                </c:pt>
                <c:pt idx="26">
                  <c:v>2035</c:v>
                </c:pt>
                <c:pt idx="27">
                  <c:v>2036</c:v>
                </c:pt>
                <c:pt idx="28">
                  <c:v>2037</c:v>
                </c:pt>
                <c:pt idx="29">
                  <c:v>2038</c:v>
                </c:pt>
                <c:pt idx="30">
                  <c:v>2039</c:v>
                </c:pt>
                <c:pt idx="31">
                  <c:v>2040</c:v>
                </c:pt>
              </c:numCache>
            </c:numRef>
          </c:cat>
          <c:val>
            <c:numRef>
              <c:f>'2021 Budget'!$C$46:$AH$46</c:f>
              <c:numCache>
                <c:formatCode>_(* #,##0_);_(* \(#,##0\);_(* "-"??_);_(@_)</c:formatCode>
                <c:ptCount val="32"/>
                <c:pt idx="0">
                  <c:v>4731</c:v>
                </c:pt>
                <c:pt idx="1">
                  <c:v>4752</c:v>
                </c:pt>
                <c:pt idx="2">
                  <c:v>4776</c:v>
                </c:pt>
                <c:pt idx="3">
                  <c:v>5144</c:v>
                </c:pt>
                <c:pt idx="4">
                  <c:v>5444</c:v>
                </c:pt>
                <c:pt idx="5">
                  <c:v>6424</c:v>
                </c:pt>
                <c:pt idx="6">
                  <c:v>6773</c:v>
                </c:pt>
                <c:pt idx="7">
                  <c:v>7482</c:v>
                </c:pt>
                <c:pt idx="8">
                  <c:v>7500</c:v>
                </c:pt>
                <c:pt idx="9">
                  <c:v>7500</c:v>
                </c:pt>
                <c:pt idx="10">
                  <c:v>7500</c:v>
                </c:pt>
                <c:pt idx="11">
                  <c:v>7500</c:v>
                </c:pt>
                <c:pt idx="12">
                  <c:v>7500</c:v>
                </c:pt>
                <c:pt idx="13">
                  <c:v>7500</c:v>
                </c:pt>
                <c:pt idx="14">
                  <c:v>7500</c:v>
                </c:pt>
                <c:pt idx="15">
                  <c:v>7500</c:v>
                </c:pt>
                <c:pt idx="16">
                  <c:v>7500</c:v>
                </c:pt>
                <c:pt idx="17">
                  <c:v>7500</c:v>
                </c:pt>
                <c:pt idx="18">
                  <c:v>7500</c:v>
                </c:pt>
                <c:pt idx="19">
                  <c:v>7500</c:v>
                </c:pt>
                <c:pt idx="20">
                  <c:v>7500</c:v>
                </c:pt>
                <c:pt idx="21">
                  <c:v>7500</c:v>
                </c:pt>
                <c:pt idx="22">
                  <c:v>7500</c:v>
                </c:pt>
                <c:pt idx="23">
                  <c:v>7500</c:v>
                </c:pt>
                <c:pt idx="24">
                  <c:v>7500</c:v>
                </c:pt>
                <c:pt idx="25">
                  <c:v>7500</c:v>
                </c:pt>
                <c:pt idx="26">
                  <c:v>7500</c:v>
                </c:pt>
                <c:pt idx="27">
                  <c:v>7500</c:v>
                </c:pt>
                <c:pt idx="28">
                  <c:v>7500</c:v>
                </c:pt>
                <c:pt idx="29">
                  <c:v>7500</c:v>
                </c:pt>
                <c:pt idx="30">
                  <c:v>4965.4262709347722</c:v>
                </c:pt>
                <c:pt idx="31">
                  <c:v>2208.0131986429137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312-45F7-8403-257C5AD2C5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5953024"/>
        <c:axId val="175954560"/>
      </c:lineChart>
      <c:catAx>
        <c:axId val="17595302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low"/>
        <c:crossAx val="175954560"/>
        <c:crosses val="autoZero"/>
        <c:auto val="1"/>
        <c:lblAlgn val="ctr"/>
        <c:lblOffset val="100"/>
        <c:tickLblSkip val="3"/>
        <c:tickMarkSkip val="1"/>
        <c:noMultiLvlLbl val="0"/>
      </c:catAx>
      <c:valAx>
        <c:axId val="175954560"/>
        <c:scaling>
          <c:orientation val="minMax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$ thousands</a:t>
                </a:r>
              </a:p>
            </c:rich>
          </c:tx>
          <c:overlay val="0"/>
        </c:title>
        <c:numFmt formatCode="_(* #,##0_);_(* \(#,##0\);_(* &quot;-&quot;??_);_(@_)" sourceLinked="1"/>
        <c:majorTickMark val="out"/>
        <c:minorTickMark val="none"/>
        <c:tickLblPos val="nextTo"/>
        <c:crossAx val="175953024"/>
        <c:crosses val="autoZero"/>
        <c:crossBetween val="between"/>
      </c:valAx>
      <c:spPr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:spPr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0211" l="0.70000000000000062" r="0.70000000000000062" t="0.75000000000000211" header="0.30000000000000032" footer="0.30000000000000032"/>
    <c:pageSetup orientation="landscape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Creekmoor POA</a:t>
            </a:r>
          </a:p>
          <a:p>
            <a:pPr>
              <a:defRPr/>
            </a:pPr>
            <a:r>
              <a:rPr lang="en-US" sz="1400" baseline="0">
                <a:solidFill>
                  <a:srgbClr val="010DFF"/>
                </a:solidFill>
              </a:rPr>
              <a:t>EBITDA, Golf vs. Non-Golf Operations</a:t>
            </a:r>
          </a:p>
        </c:rich>
      </c:tx>
      <c:layout>
        <c:manualLayout>
          <c:xMode val="edge"/>
          <c:yMode val="edge"/>
          <c:x val="0.25676391203978155"/>
          <c:y val="3.635485804198102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1356756549346265E-2"/>
          <c:y val="0.21074088703306623"/>
          <c:w val="0.74953304560112066"/>
          <c:h val="0.70983913953104794"/>
        </c:manualLayout>
      </c:layout>
      <c:lineChart>
        <c:grouping val="standard"/>
        <c:varyColors val="0"/>
        <c:ser>
          <c:idx val="1"/>
          <c:order val="0"/>
          <c:tx>
            <c:v>Non Golf OPS</c:v>
          </c:tx>
          <c:marker>
            <c:symbol val="none"/>
          </c:marker>
          <c:cat>
            <c:numRef>
              <c:f>'2021 Budget'!$C$3:$AH$3</c:f>
              <c:numCache>
                <c:formatCode>General</c:formatCode>
                <c:ptCount val="32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  <c:pt idx="15">
                  <c:v>2024</c:v>
                </c:pt>
                <c:pt idx="16">
                  <c:v>2025</c:v>
                </c:pt>
                <c:pt idx="17">
                  <c:v>2026</c:v>
                </c:pt>
                <c:pt idx="18">
                  <c:v>2027</c:v>
                </c:pt>
                <c:pt idx="19">
                  <c:v>2028</c:v>
                </c:pt>
                <c:pt idx="20">
                  <c:v>2029</c:v>
                </c:pt>
                <c:pt idx="21">
                  <c:v>2030</c:v>
                </c:pt>
                <c:pt idx="22">
                  <c:v>2031</c:v>
                </c:pt>
                <c:pt idx="23">
                  <c:v>2032</c:v>
                </c:pt>
                <c:pt idx="24">
                  <c:v>2033</c:v>
                </c:pt>
                <c:pt idx="25">
                  <c:v>2034</c:v>
                </c:pt>
                <c:pt idx="26">
                  <c:v>2035</c:v>
                </c:pt>
                <c:pt idx="27">
                  <c:v>2036</c:v>
                </c:pt>
                <c:pt idx="28">
                  <c:v>2037</c:v>
                </c:pt>
                <c:pt idx="29">
                  <c:v>2038</c:v>
                </c:pt>
                <c:pt idx="30">
                  <c:v>2039</c:v>
                </c:pt>
                <c:pt idx="31">
                  <c:v>2040</c:v>
                </c:pt>
              </c:numCache>
            </c:numRef>
          </c:cat>
          <c:val>
            <c:numRef>
              <c:f>'2021 Budget'!$C$75:$AH$75</c:f>
              <c:numCache>
                <c:formatCode>#,##0_);\(#,##0\)</c:formatCode>
                <c:ptCount val="32"/>
                <c:pt idx="0">
                  <c:v>-299</c:v>
                </c:pt>
                <c:pt idx="1">
                  <c:v>-200</c:v>
                </c:pt>
                <c:pt idx="2">
                  <c:v>-214</c:v>
                </c:pt>
                <c:pt idx="3">
                  <c:v>-173</c:v>
                </c:pt>
                <c:pt idx="4">
                  <c:v>-161</c:v>
                </c:pt>
                <c:pt idx="5">
                  <c:v>-122</c:v>
                </c:pt>
                <c:pt idx="6">
                  <c:v>-143</c:v>
                </c:pt>
                <c:pt idx="7">
                  <c:v>-38</c:v>
                </c:pt>
                <c:pt idx="8">
                  <c:v>65</c:v>
                </c:pt>
                <c:pt idx="9">
                  <c:v>106</c:v>
                </c:pt>
                <c:pt idx="10">
                  <c:v>66.555650000000128</c:v>
                </c:pt>
                <c:pt idx="11">
                  <c:v>252.29395000000017</c:v>
                </c:pt>
                <c:pt idx="12">
                  <c:v>317.59648603800088</c:v>
                </c:pt>
                <c:pt idx="13">
                  <c:v>409.86938643895121</c:v>
                </c:pt>
                <c:pt idx="14">
                  <c:v>499.17334217492498</c:v>
                </c:pt>
                <c:pt idx="15">
                  <c:v>595.97988043054784</c:v>
                </c:pt>
                <c:pt idx="16">
                  <c:v>700.80592107874952</c:v>
                </c:pt>
                <c:pt idx="17">
                  <c:v>814.2010675612089</c:v>
                </c:pt>
                <c:pt idx="18">
                  <c:v>936.74957664649514</c:v>
                </c:pt>
                <c:pt idx="19">
                  <c:v>1069.0724432976153</c:v>
                </c:pt>
                <c:pt idx="20">
                  <c:v>1211.8296072315959</c:v>
                </c:pt>
                <c:pt idx="21">
                  <c:v>1365.7222881240796</c:v>
                </c:pt>
                <c:pt idx="22">
                  <c:v>1531.4954568029152</c:v>
                </c:pt>
                <c:pt idx="23">
                  <c:v>1709.9404501873851</c:v>
                </c:pt>
                <c:pt idx="24">
                  <c:v>1864.5185888738611</c:v>
                </c:pt>
                <c:pt idx="25">
                  <c:v>1981.3716666169762</c:v>
                </c:pt>
                <c:pt idx="26">
                  <c:v>2058.4338849297069</c:v>
                </c:pt>
                <c:pt idx="27">
                  <c:v>2109.8947320529487</c:v>
                </c:pt>
                <c:pt idx="28">
                  <c:v>2162.6421003542723</c:v>
                </c:pt>
                <c:pt idx="29">
                  <c:v>2216.7081528631293</c:v>
                </c:pt>
                <c:pt idx="30">
                  <c:v>2272.1258566847068</c:v>
                </c:pt>
                <c:pt idx="31">
                  <c:v>2328.9290031018245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A01-44C0-A85D-79584634176A}"/>
            </c:ext>
          </c:extLst>
        </c:ser>
        <c:ser>
          <c:idx val="2"/>
          <c:order val="1"/>
          <c:tx>
            <c:v>Golf Ops</c:v>
          </c:tx>
          <c:spPr>
            <a:ln>
              <a:solidFill>
                <a:srgbClr val="010DFF"/>
              </a:solidFill>
            </a:ln>
          </c:spPr>
          <c:marker>
            <c:symbol val="none"/>
          </c:marker>
          <c:cat>
            <c:numRef>
              <c:f>'2021 Budget'!$C$3:$AH$3</c:f>
              <c:numCache>
                <c:formatCode>General</c:formatCode>
                <c:ptCount val="32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  <c:pt idx="15">
                  <c:v>2024</c:v>
                </c:pt>
                <c:pt idx="16">
                  <c:v>2025</c:v>
                </c:pt>
                <c:pt idx="17">
                  <c:v>2026</c:v>
                </c:pt>
                <c:pt idx="18">
                  <c:v>2027</c:v>
                </c:pt>
                <c:pt idx="19">
                  <c:v>2028</c:v>
                </c:pt>
                <c:pt idx="20">
                  <c:v>2029</c:v>
                </c:pt>
                <c:pt idx="21">
                  <c:v>2030</c:v>
                </c:pt>
                <c:pt idx="22">
                  <c:v>2031</c:v>
                </c:pt>
                <c:pt idx="23">
                  <c:v>2032</c:v>
                </c:pt>
                <c:pt idx="24">
                  <c:v>2033</c:v>
                </c:pt>
                <c:pt idx="25">
                  <c:v>2034</c:v>
                </c:pt>
                <c:pt idx="26">
                  <c:v>2035</c:v>
                </c:pt>
                <c:pt idx="27">
                  <c:v>2036</c:v>
                </c:pt>
                <c:pt idx="28">
                  <c:v>2037</c:v>
                </c:pt>
                <c:pt idx="29">
                  <c:v>2038</c:v>
                </c:pt>
                <c:pt idx="30">
                  <c:v>2039</c:v>
                </c:pt>
                <c:pt idx="31">
                  <c:v>2040</c:v>
                </c:pt>
              </c:numCache>
            </c:numRef>
          </c:cat>
          <c:val>
            <c:numRef>
              <c:f>'2021 Budget'!$C$76:$AH$76</c:f>
              <c:numCache>
                <c:formatCode>#,##0_);\(#,##0\)</c:formatCode>
                <c:ptCount val="32"/>
                <c:pt idx="0">
                  <c:v>-310</c:v>
                </c:pt>
                <c:pt idx="1">
                  <c:v>-199</c:v>
                </c:pt>
                <c:pt idx="2">
                  <c:v>-71</c:v>
                </c:pt>
                <c:pt idx="3">
                  <c:v>-83</c:v>
                </c:pt>
                <c:pt idx="4">
                  <c:v>-73</c:v>
                </c:pt>
                <c:pt idx="5">
                  <c:v>-101</c:v>
                </c:pt>
                <c:pt idx="6">
                  <c:v>-162</c:v>
                </c:pt>
                <c:pt idx="7">
                  <c:v>-164</c:v>
                </c:pt>
                <c:pt idx="8">
                  <c:v>-232</c:v>
                </c:pt>
                <c:pt idx="9">
                  <c:v>-180</c:v>
                </c:pt>
                <c:pt idx="10">
                  <c:v>-129.12335000000041</c:v>
                </c:pt>
                <c:pt idx="11">
                  <c:v>41.534287000000006</c:v>
                </c:pt>
                <c:pt idx="12">
                  <c:v>-52.969721458708818</c:v>
                </c:pt>
                <c:pt idx="13">
                  <c:v>-5.8139644951764922</c:v>
                </c:pt>
                <c:pt idx="14">
                  <c:v>44.440686392443922</c:v>
                </c:pt>
                <c:pt idx="15">
                  <c:v>45.551703552255049</c:v>
                </c:pt>
                <c:pt idx="16">
                  <c:v>46.690496141061317</c:v>
                </c:pt>
                <c:pt idx="17">
                  <c:v>47.857758544588023</c:v>
                </c:pt>
                <c:pt idx="18">
                  <c:v>49.054202508202707</c:v>
                </c:pt>
                <c:pt idx="19">
                  <c:v>50.280557570907831</c:v>
                </c:pt>
                <c:pt idx="20">
                  <c:v>51.537571510180442</c:v>
                </c:pt>
                <c:pt idx="21">
                  <c:v>52.826010797934941</c:v>
                </c:pt>
                <c:pt idx="22">
                  <c:v>54.146661067883315</c:v>
                </c:pt>
                <c:pt idx="23">
                  <c:v>55.500327594580313</c:v>
                </c:pt>
                <c:pt idx="24">
                  <c:v>56.887835784445087</c:v>
                </c:pt>
                <c:pt idx="25">
                  <c:v>58.310031679056237</c:v>
                </c:pt>
                <c:pt idx="26">
                  <c:v>59.76778247103266</c:v>
                </c:pt>
                <c:pt idx="27">
                  <c:v>61.261977032808318</c:v>
                </c:pt>
                <c:pt idx="28">
                  <c:v>62.793526458628548</c:v>
                </c:pt>
                <c:pt idx="29">
                  <c:v>64.363364620094217</c:v>
                </c:pt>
                <c:pt idx="30">
                  <c:v>65.972448735597027</c:v>
                </c:pt>
                <c:pt idx="31">
                  <c:v>67.621759953986839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A01-44C0-A85D-7958463417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5862144"/>
        <c:axId val="175863680"/>
      </c:lineChart>
      <c:catAx>
        <c:axId val="17586214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low"/>
        <c:crossAx val="175863680"/>
        <c:crosses val="autoZero"/>
        <c:auto val="1"/>
        <c:lblAlgn val="ctr"/>
        <c:lblOffset val="100"/>
        <c:tickLblSkip val="3"/>
        <c:tickMarkSkip val="1"/>
        <c:noMultiLvlLbl val="0"/>
      </c:catAx>
      <c:valAx>
        <c:axId val="17586368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$ thousands</a:t>
                </a:r>
              </a:p>
            </c:rich>
          </c:tx>
          <c:overlay val="0"/>
        </c:title>
        <c:numFmt formatCode="#,##0_);\(#,##0\)" sourceLinked="1"/>
        <c:majorTickMark val="out"/>
        <c:minorTickMark val="none"/>
        <c:tickLblPos val="nextTo"/>
        <c:crossAx val="175862144"/>
        <c:crosses val="autoZero"/>
        <c:crossBetween val="between"/>
      </c:valAx>
      <c:spPr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:spPr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000000000000211" l="0.70000000000000062" r="0.70000000000000062" t="0.75000000000000211" header="0.30000000000000032" footer="0.30000000000000032"/>
    <c:pageSetup orientation="landscape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Creekmoor POA</a:t>
            </a:r>
          </a:p>
          <a:p>
            <a:pPr>
              <a:defRPr/>
            </a:pPr>
            <a:r>
              <a:rPr lang="en-US" sz="1400" baseline="0">
                <a:solidFill>
                  <a:srgbClr val="010DFF"/>
                </a:solidFill>
              </a:rPr>
              <a:t>Loan Balance Forecast</a:t>
            </a:r>
          </a:p>
        </c:rich>
      </c:tx>
      <c:layout>
        <c:manualLayout>
          <c:xMode val="edge"/>
          <c:yMode val="edge"/>
          <c:x val="0.39316786810099558"/>
          <c:y val="2.956825656180833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26070815222172"/>
          <c:y val="0.21074088703306623"/>
          <c:w val="0.82874992477792131"/>
          <c:h val="0.70983913953104794"/>
        </c:manualLayout>
      </c:layout>
      <c:lineChart>
        <c:grouping val="standard"/>
        <c:varyColors val="0"/>
        <c:ser>
          <c:idx val="1"/>
          <c:order val="0"/>
          <c:tx>
            <c:v>WC LOAN</c:v>
          </c:tx>
          <c:spPr>
            <a:ln>
              <a:solidFill>
                <a:srgbClr val="FF0000"/>
              </a:solidFill>
            </a:ln>
          </c:spPr>
          <c:marker>
            <c:symbol val="none"/>
          </c:marker>
          <c:cat>
            <c:numRef>
              <c:f>'2023 Budget'!$C$3:$AH$3</c:f>
              <c:numCache>
                <c:formatCode>General</c:formatCode>
                <c:ptCount val="22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  <c:pt idx="6">
                  <c:v>2025</c:v>
                </c:pt>
                <c:pt idx="7">
                  <c:v>2026</c:v>
                </c:pt>
                <c:pt idx="8">
                  <c:v>2027</c:v>
                </c:pt>
                <c:pt idx="9">
                  <c:v>2028</c:v>
                </c:pt>
                <c:pt idx="10">
                  <c:v>2029</c:v>
                </c:pt>
                <c:pt idx="11">
                  <c:v>2030</c:v>
                </c:pt>
                <c:pt idx="12">
                  <c:v>2031</c:v>
                </c:pt>
                <c:pt idx="13">
                  <c:v>2032</c:v>
                </c:pt>
                <c:pt idx="14">
                  <c:v>2033</c:v>
                </c:pt>
                <c:pt idx="15">
                  <c:v>2034</c:v>
                </c:pt>
                <c:pt idx="16">
                  <c:v>2035</c:v>
                </c:pt>
                <c:pt idx="17">
                  <c:v>2036</c:v>
                </c:pt>
                <c:pt idx="18">
                  <c:v>2037</c:v>
                </c:pt>
                <c:pt idx="19">
                  <c:v>2038</c:v>
                </c:pt>
                <c:pt idx="20">
                  <c:v>2039</c:v>
                </c:pt>
                <c:pt idx="21">
                  <c:v>2040</c:v>
                </c:pt>
              </c:numCache>
            </c:numRef>
          </c:cat>
          <c:val>
            <c:numRef>
              <c:f>'2023 Budget'!$C$45:$AH$45</c:f>
              <c:numCache>
                <c:formatCode>#,##0_);[Red]\(#,##0\)</c:formatCode>
                <c:ptCount val="22"/>
                <c:pt idx="0">
                  <c:v>9368.2332700000006</c:v>
                </c:pt>
                <c:pt idx="1">
                  <c:v>9614.2332700000006</c:v>
                </c:pt>
                <c:pt idx="2">
                  <c:v>9748.4106700000011</c:v>
                </c:pt>
                <c:pt idx="3">
                  <c:v>9879.7340299999996</c:v>
                </c:pt>
                <c:pt idx="4">
                  <c:v>9894.4800950749996</c:v>
                </c:pt>
                <c:pt idx="5">
                  <c:v>9848.3324365221652</c:v>
                </c:pt>
                <c:pt idx="6">
                  <c:v>9679.0853360010242</c:v>
                </c:pt>
                <c:pt idx="7">
                  <c:v>9382.602789935574</c:v>
                </c:pt>
                <c:pt idx="8">
                  <c:v>8954.6050084782637</c:v>
                </c:pt>
                <c:pt idx="9">
                  <c:v>8390.66314887716</c:v>
                </c:pt>
                <c:pt idx="10">
                  <c:v>7686.1938418807604</c:v>
                </c:pt>
                <c:pt idx="11">
                  <c:v>6956.4535023627905</c:v>
                </c:pt>
                <c:pt idx="12">
                  <c:v>6200.4324149432987</c:v>
                </c:pt>
                <c:pt idx="13">
                  <c:v>5417.0753349562847</c:v>
                </c:pt>
                <c:pt idx="14">
                  <c:v>4605.8974637819456</c:v>
                </c:pt>
                <c:pt idx="15">
                  <c:v>3766.6221117575888</c:v>
                </c:pt>
                <c:pt idx="16">
                  <c:v>2898.9894694519076</c:v>
                </c:pt>
                <c:pt idx="17">
                  <c:v>2002.5009525939863</c:v>
                </c:pt>
                <c:pt idx="18">
                  <c:v>1076.2051014043286</c:v>
                </c:pt>
                <c:pt idx="19">
                  <c:v>119.11927660875244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38B-40E5-91E1-EAA202D65940}"/>
            </c:ext>
          </c:extLst>
        </c:ser>
        <c:ser>
          <c:idx val="2"/>
          <c:order val="1"/>
          <c:tx>
            <c:v>INFR LOAN</c:v>
          </c:tx>
          <c:spPr>
            <a:ln>
              <a:solidFill>
                <a:srgbClr val="010DFF"/>
              </a:solidFill>
            </a:ln>
          </c:spPr>
          <c:marker>
            <c:symbol val="none"/>
          </c:marker>
          <c:cat>
            <c:numRef>
              <c:f>'2023 Budget'!$C$3:$AH$3</c:f>
              <c:numCache>
                <c:formatCode>General</c:formatCode>
                <c:ptCount val="22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  <c:pt idx="6">
                  <c:v>2025</c:v>
                </c:pt>
                <c:pt idx="7">
                  <c:v>2026</c:v>
                </c:pt>
                <c:pt idx="8">
                  <c:v>2027</c:v>
                </c:pt>
                <c:pt idx="9">
                  <c:v>2028</c:v>
                </c:pt>
                <c:pt idx="10">
                  <c:v>2029</c:v>
                </c:pt>
                <c:pt idx="11">
                  <c:v>2030</c:v>
                </c:pt>
                <c:pt idx="12">
                  <c:v>2031</c:v>
                </c:pt>
                <c:pt idx="13">
                  <c:v>2032</c:v>
                </c:pt>
                <c:pt idx="14">
                  <c:v>2033</c:v>
                </c:pt>
                <c:pt idx="15">
                  <c:v>2034</c:v>
                </c:pt>
                <c:pt idx="16">
                  <c:v>2035</c:v>
                </c:pt>
                <c:pt idx="17">
                  <c:v>2036</c:v>
                </c:pt>
                <c:pt idx="18">
                  <c:v>2037</c:v>
                </c:pt>
                <c:pt idx="19">
                  <c:v>2038</c:v>
                </c:pt>
                <c:pt idx="20">
                  <c:v>2039</c:v>
                </c:pt>
                <c:pt idx="21">
                  <c:v>2040</c:v>
                </c:pt>
              </c:numCache>
            </c:numRef>
          </c:cat>
          <c:val>
            <c:numRef>
              <c:f>'2023 Budget'!$C$46:$AH$46</c:f>
              <c:numCache>
                <c:formatCode>_(* #,##0_);_(* \(#,##0\);_(* "-"??_);_(@_)</c:formatCode>
                <c:ptCount val="22"/>
                <c:pt idx="0">
                  <c:v>7500</c:v>
                </c:pt>
                <c:pt idx="1">
                  <c:v>7500</c:v>
                </c:pt>
                <c:pt idx="2">
                  <c:v>7500</c:v>
                </c:pt>
                <c:pt idx="3">
                  <c:v>7500</c:v>
                </c:pt>
                <c:pt idx="4">
                  <c:v>7500</c:v>
                </c:pt>
                <c:pt idx="5">
                  <c:v>7500</c:v>
                </c:pt>
                <c:pt idx="6">
                  <c:v>7500</c:v>
                </c:pt>
                <c:pt idx="7">
                  <c:v>7500</c:v>
                </c:pt>
                <c:pt idx="8">
                  <c:v>7500</c:v>
                </c:pt>
                <c:pt idx="9">
                  <c:v>7500</c:v>
                </c:pt>
                <c:pt idx="10">
                  <c:v>7500</c:v>
                </c:pt>
                <c:pt idx="11">
                  <c:v>7500</c:v>
                </c:pt>
                <c:pt idx="12">
                  <c:v>7500</c:v>
                </c:pt>
                <c:pt idx="13">
                  <c:v>7500</c:v>
                </c:pt>
                <c:pt idx="14">
                  <c:v>7500</c:v>
                </c:pt>
                <c:pt idx="15">
                  <c:v>7500</c:v>
                </c:pt>
                <c:pt idx="16">
                  <c:v>7500</c:v>
                </c:pt>
                <c:pt idx="17">
                  <c:v>7500</c:v>
                </c:pt>
                <c:pt idx="18">
                  <c:v>7500</c:v>
                </c:pt>
                <c:pt idx="19">
                  <c:v>7500</c:v>
                </c:pt>
                <c:pt idx="20">
                  <c:v>6540</c:v>
                </c:pt>
                <c:pt idx="21">
                  <c:v>5580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38B-40E5-91E1-EAA202D659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5953024"/>
        <c:axId val="175954560"/>
      </c:lineChart>
      <c:catAx>
        <c:axId val="17595302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low"/>
        <c:crossAx val="175954560"/>
        <c:crosses val="autoZero"/>
        <c:auto val="1"/>
        <c:lblAlgn val="ctr"/>
        <c:lblOffset val="100"/>
        <c:tickLblSkip val="3"/>
        <c:tickMarkSkip val="1"/>
        <c:noMultiLvlLbl val="0"/>
      </c:catAx>
      <c:valAx>
        <c:axId val="175954560"/>
        <c:scaling>
          <c:orientation val="minMax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$ thousands</a:t>
                </a:r>
              </a:p>
            </c:rich>
          </c:tx>
          <c:overlay val="0"/>
        </c:title>
        <c:numFmt formatCode="#,##0_);[Red]\(#,##0\)" sourceLinked="1"/>
        <c:majorTickMark val="out"/>
        <c:minorTickMark val="none"/>
        <c:tickLblPos val="nextTo"/>
        <c:crossAx val="175953024"/>
        <c:crosses val="autoZero"/>
        <c:crossBetween val="between"/>
      </c:valAx>
      <c:spPr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:spPr>
    </c:plotArea>
    <c:legend>
      <c:legendPos val="r"/>
      <c:layout>
        <c:manualLayout>
          <c:xMode val="edge"/>
          <c:yMode val="edge"/>
          <c:x val="0.8134622061131247"/>
          <c:y val="6.3339682677505782E-2"/>
          <c:w val="0.17478000435130794"/>
          <c:h val="0.11869319798402508"/>
        </c:manualLayout>
      </c:layout>
      <c:overlay val="0"/>
    </c:legend>
    <c:plotVisOnly val="1"/>
    <c:dispBlanksAs val="gap"/>
    <c:showDLblsOverMax val="0"/>
  </c:chart>
  <c:printSettings>
    <c:headerFooter/>
    <c:pageMargins b="0.75000000000000211" l="0.70000000000000062" r="0.70000000000000062" t="0.75000000000000211" header="0.30000000000000032" footer="0.30000000000000032"/>
    <c:pageSetup orientation="landscape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Creekmoor POA</a:t>
            </a:r>
          </a:p>
          <a:p>
            <a:pPr>
              <a:defRPr/>
            </a:pPr>
            <a:r>
              <a:rPr lang="en-US" sz="1400" baseline="0">
                <a:solidFill>
                  <a:srgbClr val="010DFF"/>
                </a:solidFill>
              </a:rPr>
              <a:t>EBITDA, Golf vs. Non-Golf Operations</a:t>
            </a:r>
          </a:p>
        </c:rich>
      </c:tx>
      <c:layout>
        <c:manualLayout>
          <c:xMode val="edge"/>
          <c:yMode val="edge"/>
          <c:x val="0.25676391203978155"/>
          <c:y val="3.635485804198102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6172768509254262"/>
          <c:y val="0.21074088703306623"/>
          <c:w val="0.759837044763361"/>
          <c:h val="0.70983913953104794"/>
        </c:manualLayout>
      </c:layout>
      <c:lineChart>
        <c:grouping val="standard"/>
        <c:varyColors val="0"/>
        <c:ser>
          <c:idx val="1"/>
          <c:order val="0"/>
          <c:tx>
            <c:v>Non Golf OPS</c:v>
          </c:tx>
          <c:marker>
            <c:symbol val="none"/>
          </c:marker>
          <c:cat>
            <c:numRef>
              <c:f>'2023 Budget'!$C$3:$AH$3</c:f>
              <c:numCache>
                <c:formatCode>General</c:formatCode>
                <c:ptCount val="22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  <c:pt idx="6">
                  <c:v>2025</c:v>
                </c:pt>
                <c:pt idx="7">
                  <c:v>2026</c:v>
                </c:pt>
                <c:pt idx="8">
                  <c:v>2027</c:v>
                </c:pt>
                <c:pt idx="9">
                  <c:v>2028</c:v>
                </c:pt>
                <c:pt idx="10">
                  <c:v>2029</c:v>
                </c:pt>
                <c:pt idx="11">
                  <c:v>2030</c:v>
                </c:pt>
                <c:pt idx="12">
                  <c:v>2031</c:v>
                </c:pt>
                <c:pt idx="13">
                  <c:v>2032</c:v>
                </c:pt>
                <c:pt idx="14">
                  <c:v>2033</c:v>
                </c:pt>
                <c:pt idx="15">
                  <c:v>2034</c:v>
                </c:pt>
                <c:pt idx="16">
                  <c:v>2035</c:v>
                </c:pt>
                <c:pt idx="17">
                  <c:v>2036</c:v>
                </c:pt>
                <c:pt idx="18">
                  <c:v>2037</c:v>
                </c:pt>
                <c:pt idx="19">
                  <c:v>2038</c:v>
                </c:pt>
                <c:pt idx="20">
                  <c:v>2039</c:v>
                </c:pt>
                <c:pt idx="21">
                  <c:v>2040</c:v>
                </c:pt>
              </c:numCache>
            </c:numRef>
          </c:cat>
          <c:val>
            <c:numRef>
              <c:f>'2023 Budget'!$C$75:$AH$75</c:f>
              <c:numCache>
                <c:formatCode>#,##0_);\(#,##0\)</c:formatCode>
                <c:ptCount val="22"/>
                <c:pt idx="0">
                  <c:v>181.32079000000056</c:v>
                </c:pt>
                <c:pt idx="1">
                  <c:v>246.90053000000029</c:v>
                </c:pt>
                <c:pt idx="2">
                  <c:v>246.6193999999997</c:v>
                </c:pt>
                <c:pt idx="3">
                  <c:v>211.7907799999999</c:v>
                </c:pt>
                <c:pt idx="4">
                  <c:v>292.55479999999932</c:v>
                </c:pt>
                <c:pt idx="5">
                  <c:v>374.10756804750014</c:v>
                </c:pt>
                <c:pt idx="6">
                  <c:v>469.5212699231252</c:v>
                </c:pt>
                <c:pt idx="7">
                  <c:v>573.16860870567393</c:v>
                </c:pt>
                <c:pt idx="8">
                  <c:v>685.62323990033406</c:v>
                </c:pt>
                <c:pt idx="9">
                  <c:v>807.49526525262092</c:v>
                </c:pt>
                <c:pt idx="10">
                  <c:v>939.43343317710719</c:v>
                </c:pt>
                <c:pt idx="11">
                  <c:v>1082.1274678117347</c:v>
                </c:pt>
                <c:pt idx="12">
                  <c:v>1236.3105340501302</c:v>
                </c:pt>
                <c:pt idx="13">
                  <c:v>1402.7618463177816</c:v>
                </c:pt>
                <c:pt idx="14">
                  <c:v>1544.2632914652784</c:v>
                </c:pt>
                <c:pt idx="15">
                  <c:v>1647.0352179039455</c:v>
                </c:pt>
                <c:pt idx="16">
                  <c:v>1709.4820130635396</c:v>
                </c:pt>
                <c:pt idx="17">
                  <c:v>1745.7743410967582</c:v>
                </c:pt>
                <c:pt idx="18">
                  <c:v>1782.7806356620083</c:v>
                </c:pt>
                <c:pt idx="19">
                  <c:v>1820.5129456725224</c:v>
                </c:pt>
                <c:pt idx="20">
                  <c:v>1858.9834472568689</c:v>
                </c:pt>
                <c:pt idx="21">
                  <c:v>1898.2044417191019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C7C-47C6-B60E-9622316CB0F1}"/>
            </c:ext>
          </c:extLst>
        </c:ser>
        <c:ser>
          <c:idx val="2"/>
          <c:order val="1"/>
          <c:tx>
            <c:v>Golf Ops</c:v>
          </c:tx>
          <c:spPr>
            <a:ln>
              <a:solidFill>
                <a:srgbClr val="010DFF"/>
              </a:solidFill>
            </a:ln>
          </c:spPr>
          <c:marker>
            <c:symbol val="none"/>
          </c:marker>
          <c:cat>
            <c:numRef>
              <c:f>'2023 Budget'!$C$3:$AH$3</c:f>
              <c:numCache>
                <c:formatCode>General</c:formatCode>
                <c:ptCount val="22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  <c:pt idx="6">
                  <c:v>2025</c:v>
                </c:pt>
                <c:pt idx="7">
                  <c:v>2026</c:v>
                </c:pt>
                <c:pt idx="8">
                  <c:v>2027</c:v>
                </c:pt>
                <c:pt idx="9">
                  <c:v>2028</c:v>
                </c:pt>
                <c:pt idx="10">
                  <c:v>2029</c:v>
                </c:pt>
                <c:pt idx="11">
                  <c:v>2030</c:v>
                </c:pt>
                <c:pt idx="12">
                  <c:v>2031</c:v>
                </c:pt>
                <c:pt idx="13">
                  <c:v>2032</c:v>
                </c:pt>
                <c:pt idx="14">
                  <c:v>2033</c:v>
                </c:pt>
                <c:pt idx="15">
                  <c:v>2034</c:v>
                </c:pt>
                <c:pt idx="16">
                  <c:v>2035</c:v>
                </c:pt>
                <c:pt idx="17">
                  <c:v>2036</c:v>
                </c:pt>
                <c:pt idx="18">
                  <c:v>2037</c:v>
                </c:pt>
                <c:pt idx="19">
                  <c:v>2038</c:v>
                </c:pt>
                <c:pt idx="20">
                  <c:v>2039</c:v>
                </c:pt>
                <c:pt idx="21">
                  <c:v>2040</c:v>
                </c:pt>
              </c:numCache>
            </c:numRef>
          </c:cat>
          <c:val>
            <c:numRef>
              <c:f>'2023 Budget'!$C$76:$AH$76</c:f>
              <c:numCache>
                <c:formatCode>#,##0_);\(#,##0\)</c:formatCode>
                <c:ptCount val="22"/>
                <c:pt idx="0">
                  <c:v>-129.12335000000041</c:v>
                </c:pt>
                <c:pt idx="1">
                  <c:v>41.534287000000006</c:v>
                </c:pt>
                <c:pt idx="2">
                  <c:v>182.74383</c:v>
                </c:pt>
                <c:pt idx="3">
                  <c:v>201.58676000000006</c:v>
                </c:pt>
                <c:pt idx="4">
                  <c:v>97.924640000000068</c:v>
                </c:pt>
                <c:pt idx="5">
                  <c:v>100.86237920000002</c:v>
                </c:pt>
                <c:pt idx="6">
                  <c:v>103.88825057599996</c:v>
                </c:pt>
                <c:pt idx="7">
                  <c:v>107.00489809327996</c:v>
                </c:pt>
                <c:pt idx="8">
                  <c:v>110.21504503607844</c:v>
                </c:pt>
                <c:pt idx="9">
                  <c:v>113.52149638716071</c:v>
                </c:pt>
                <c:pt idx="10">
                  <c:v>116.92714127877548</c:v>
                </c:pt>
                <c:pt idx="11">
                  <c:v>120.43495551713886</c:v>
                </c:pt>
                <c:pt idx="12">
                  <c:v>124.04800418265313</c:v>
                </c:pt>
                <c:pt idx="13">
                  <c:v>127.76944430813251</c:v>
                </c:pt>
                <c:pt idx="14">
                  <c:v>131.6025276373764</c:v>
                </c:pt>
                <c:pt idx="15">
                  <c:v>135.55060346649771</c:v>
                </c:pt>
                <c:pt idx="16">
                  <c:v>139.61712157049283</c:v>
                </c:pt>
                <c:pt idx="17">
                  <c:v>143.80563521760769</c:v>
                </c:pt>
                <c:pt idx="18">
                  <c:v>148.11980427413596</c:v>
                </c:pt>
                <c:pt idx="19">
                  <c:v>152.56339840236001</c:v>
                </c:pt>
                <c:pt idx="20">
                  <c:v>157.14030035443079</c:v>
                </c:pt>
                <c:pt idx="21">
                  <c:v>161.85450936506368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C7C-47C6-B60E-9622316CB0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5862144"/>
        <c:axId val="175863680"/>
      </c:lineChart>
      <c:catAx>
        <c:axId val="17586214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low"/>
        <c:crossAx val="175863680"/>
        <c:crosses val="autoZero"/>
        <c:auto val="1"/>
        <c:lblAlgn val="ctr"/>
        <c:lblOffset val="100"/>
        <c:tickLblSkip val="3"/>
        <c:tickMarkSkip val="1"/>
        <c:noMultiLvlLbl val="0"/>
      </c:catAx>
      <c:valAx>
        <c:axId val="17586368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$ thousands</a:t>
                </a:r>
              </a:p>
            </c:rich>
          </c:tx>
          <c:overlay val="0"/>
        </c:title>
        <c:numFmt formatCode="#,##0_);\(#,##0\)" sourceLinked="1"/>
        <c:majorTickMark val="out"/>
        <c:minorTickMark val="none"/>
        <c:tickLblPos val="nextTo"/>
        <c:crossAx val="175862144"/>
        <c:crosses val="autoZero"/>
        <c:crossBetween val="between"/>
      </c:valAx>
      <c:spPr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:spPr>
    </c:plotArea>
    <c:legend>
      <c:legendPos val="r"/>
      <c:layout>
        <c:manualLayout>
          <c:xMode val="edge"/>
          <c:yMode val="edge"/>
          <c:x val="0.7881189237009778"/>
          <c:y val="5.0212019512669098E-2"/>
          <c:w val="0.17478678898153627"/>
          <c:h val="0.11869319798402508"/>
        </c:manualLayout>
      </c:layout>
      <c:overlay val="0"/>
    </c:legend>
    <c:plotVisOnly val="1"/>
    <c:dispBlanksAs val="gap"/>
    <c:showDLblsOverMax val="0"/>
  </c:chart>
  <c:printSettings>
    <c:headerFooter/>
    <c:pageMargins b="0.75000000000000211" l="0.70000000000000062" r="0.70000000000000062" t="0.75000000000000211" header="0.30000000000000032" footer="0.30000000000000032"/>
    <c:pageSetup orientation="landscape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Creekmoor POA</a:t>
            </a:r>
          </a:p>
          <a:p>
            <a:pPr>
              <a:defRPr/>
            </a:pPr>
            <a:r>
              <a:rPr lang="en-US" sz="1400" baseline="0">
                <a:solidFill>
                  <a:srgbClr val="010DFF"/>
                </a:solidFill>
              </a:rPr>
              <a:t>Loan Balance Forecast</a:t>
            </a:r>
          </a:p>
        </c:rich>
      </c:tx>
      <c:layout>
        <c:manualLayout>
          <c:xMode val="edge"/>
          <c:yMode val="edge"/>
          <c:x val="0.39316786810099558"/>
          <c:y val="2.956825656180833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26070815222172"/>
          <c:y val="0.21074088703306623"/>
          <c:w val="0.82874992477792131"/>
          <c:h val="0.70983913953104794"/>
        </c:manualLayout>
      </c:layout>
      <c:lineChart>
        <c:grouping val="standard"/>
        <c:varyColors val="0"/>
        <c:ser>
          <c:idx val="1"/>
          <c:order val="0"/>
          <c:tx>
            <c:v>WC LOAN</c:v>
          </c:tx>
          <c:spPr>
            <a:ln>
              <a:solidFill>
                <a:srgbClr val="FF0000"/>
              </a:solidFill>
            </a:ln>
          </c:spPr>
          <c:marker>
            <c:symbol val="none"/>
          </c:marker>
          <c:cat>
            <c:numRef>
              <c:f>'2023 Budget'!$C$3:$AH$3</c:f>
              <c:numCache>
                <c:formatCode>General</c:formatCode>
                <c:ptCount val="22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  <c:pt idx="6">
                  <c:v>2025</c:v>
                </c:pt>
                <c:pt idx="7">
                  <c:v>2026</c:v>
                </c:pt>
                <c:pt idx="8">
                  <c:v>2027</c:v>
                </c:pt>
                <c:pt idx="9">
                  <c:v>2028</c:v>
                </c:pt>
                <c:pt idx="10">
                  <c:v>2029</c:v>
                </c:pt>
                <c:pt idx="11">
                  <c:v>2030</c:v>
                </c:pt>
                <c:pt idx="12">
                  <c:v>2031</c:v>
                </c:pt>
                <c:pt idx="13">
                  <c:v>2032</c:v>
                </c:pt>
                <c:pt idx="14">
                  <c:v>2033</c:v>
                </c:pt>
                <c:pt idx="15">
                  <c:v>2034</c:v>
                </c:pt>
                <c:pt idx="16">
                  <c:v>2035</c:v>
                </c:pt>
                <c:pt idx="17">
                  <c:v>2036</c:v>
                </c:pt>
                <c:pt idx="18">
                  <c:v>2037</c:v>
                </c:pt>
                <c:pt idx="19">
                  <c:v>2038</c:v>
                </c:pt>
                <c:pt idx="20">
                  <c:v>2039</c:v>
                </c:pt>
                <c:pt idx="21">
                  <c:v>2040</c:v>
                </c:pt>
              </c:numCache>
            </c:numRef>
          </c:cat>
          <c:val>
            <c:numRef>
              <c:f>'2023 Budget'!$C$45:$AH$45</c:f>
              <c:numCache>
                <c:formatCode>#,##0_);[Red]\(#,##0\)</c:formatCode>
                <c:ptCount val="22"/>
                <c:pt idx="0">
                  <c:v>9368.2332700000006</c:v>
                </c:pt>
                <c:pt idx="1">
                  <c:v>9614.2332700000006</c:v>
                </c:pt>
                <c:pt idx="2">
                  <c:v>9748.4106700000011</c:v>
                </c:pt>
                <c:pt idx="3">
                  <c:v>9879.7340299999996</c:v>
                </c:pt>
                <c:pt idx="4">
                  <c:v>9894.4800950749996</c:v>
                </c:pt>
                <c:pt idx="5">
                  <c:v>9848.3324365221652</c:v>
                </c:pt>
                <c:pt idx="6">
                  <c:v>9679.0853360010242</c:v>
                </c:pt>
                <c:pt idx="7">
                  <c:v>9382.602789935574</c:v>
                </c:pt>
                <c:pt idx="8">
                  <c:v>8954.6050084782637</c:v>
                </c:pt>
                <c:pt idx="9">
                  <c:v>8390.66314887716</c:v>
                </c:pt>
                <c:pt idx="10">
                  <c:v>7686.1938418807604</c:v>
                </c:pt>
                <c:pt idx="11">
                  <c:v>6956.4535023627905</c:v>
                </c:pt>
                <c:pt idx="12">
                  <c:v>6200.4324149432987</c:v>
                </c:pt>
                <c:pt idx="13">
                  <c:v>5417.0753349562847</c:v>
                </c:pt>
                <c:pt idx="14">
                  <c:v>4605.8974637819456</c:v>
                </c:pt>
                <c:pt idx="15">
                  <c:v>3766.6221117575888</c:v>
                </c:pt>
                <c:pt idx="16">
                  <c:v>2898.9894694519076</c:v>
                </c:pt>
                <c:pt idx="17">
                  <c:v>2002.5009525939863</c:v>
                </c:pt>
                <c:pt idx="18">
                  <c:v>1076.2051014043286</c:v>
                </c:pt>
                <c:pt idx="19">
                  <c:v>119.11927660875244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80-4F77-9D15-50CD59B0B635}"/>
            </c:ext>
          </c:extLst>
        </c:ser>
        <c:ser>
          <c:idx val="2"/>
          <c:order val="1"/>
          <c:tx>
            <c:v>INFR LOAN</c:v>
          </c:tx>
          <c:spPr>
            <a:ln>
              <a:solidFill>
                <a:srgbClr val="010DFF"/>
              </a:solidFill>
            </a:ln>
          </c:spPr>
          <c:marker>
            <c:symbol val="none"/>
          </c:marker>
          <c:cat>
            <c:numRef>
              <c:f>'2023 Budget'!$C$3:$AH$3</c:f>
              <c:numCache>
                <c:formatCode>General</c:formatCode>
                <c:ptCount val="22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  <c:pt idx="6">
                  <c:v>2025</c:v>
                </c:pt>
                <c:pt idx="7">
                  <c:v>2026</c:v>
                </c:pt>
                <c:pt idx="8">
                  <c:v>2027</c:v>
                </c:pt>
                <c:pt idx="9">
                  <c:v>2028</c:v>
                </c:pt>
                <c:pt idx="10">
                  <c:v>2029</c:v>
                </c:pt>
                <c:pt idx="11">
                  <c:v>2030</c:v>
                </c:pt>
                <c:pt idx="12">
                  <c:v>2031</c:v>
                </c:pt>
                <c:pt idx="13">
                  <c:v>2032</c:v>
                </c:pt>
                <c:pt idx="14">
                  <c:v>2033</c:v>
                </c:pt>
                <c:pt idx="15">
                  <c:v>2034</c:v>
                </c:pt>
                <c:pt idx="16">
                  <c:v>2035</c:v>
                </c:pt>
                <c:pt idx="17">
                  <c:v>2036</c:v>
                </c:pt>
                <c:pt idx="18">
                  <c:v>2037</c:v>
                </c:pt>
                <c:pt idx="19">
                  <c:v>2038</c:v>
                </c:pt>
                <c:pt idx="20">
                  <c:v>2039</c:v>
                </c:pt>
                <c:pt idx="21">
                  <c:v>2040</c:v>
                </c:pt>
              </c:numCache>
            </c:numRef>
          </c:cat>
          <c:val>
            <c:numRef>
              <c:f>'2023 Budget'!$C$46:$AH$46</c:f>
              <c:numCache>
                <c:formatCode>_(* #,##0_);_(* \(#,##0\);_(* "-"??_);_(@_)</c:formatCode>
                <c:ptCount val="22"/>
                <c:pt idx="0">
                  <c:v>7500</c:v>
                </c:pt>
                <c:pt idx="1">
                  <c:v>7500</c:v>
                </c:pt>
                <c:pt idx="2">
                  <c:v>7500</c:v>
                </c:pt>
                <c:pt idx="3">
                  <c:v>7500</c:v>
                </c:pt>
                <c:pt idx="4">
                  <c:v>7500</c:v>
                </c:pt>
                <c:pt idx="5">
                  <c:v>7500</c:v>
                </c:pt>
                <c:pt idx="6">
                  <c:v>7500</c:v>
                </c:pt>
                <c:pt idx="7">
                  <c:v>7500</c:v>
                </c:pt>
                <c:pt idx="8">
                  <c:v>7500</c:v>
                </c:pt>
                <c:pt idx="9">
                  <c:v>7500</c:v>
                </c:pt>
                <c:pt idx="10">
                  <c:v>7500</c:v>
                </c:pt>
                <c:pt idx="11">
                  <c:v>7500</c:v>
                </c:pt>
                <c:pt idx="12">
                  <c:v>7500</c:v>
                </c:pt>
                <c:pt idx="13">
                  <c:v>7500</c:v>
                </c:pt>
                <c:pt idx="14">
                  <c:v>7500</c:v>
                </c:pt>
                <c:pt idx="15">
                  <c:v>7500</c:v>
                </c:pt>
                <c:pt idx="16">
                  <c:v>7500</c:v>
                </c:pt>
                <c:pt idx="17">
                  <c:v>7500</c:v>
                </c:pt>
                <c:pt idx="18">
                  <c:v>7500</c:v>
                </c:pt>
                <c:pt idx="19">
                  <c:v>7500</c:v>
                </c:pt>
                <c:pt idx="20">
                  <c:v>6540</c:v>
                </c:pt>
                <c:pt idx="21">
                  <c:v>5580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80-4F77-9D15-50CD59B0B63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5953024"/>
        <c:axId val="175954560"/>
      </c:lineChart>
      <c:catAx>
        <c:axId val="17595302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low"/>
        <c:crossAx val="175954560"/>
        <c:crosses val="autoZero"/>
        <c:auto val="1"/>
        <c:lblAlgn val="ctr"/>
        <c:lblOffset val="100"/>
        <c:tickLblSkip val="3"/>
        <c:tickMarkSkip val="1"/>
        <c:noMultiLvlLbl val="0"/>
      </c:catAx>
      <c:valAx>
        <c:axId val="175954560"/>
        <c:scaling>
          <c:orientation val="minMax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$ thousands</a:t>
                </a:r>
              </a:p>
            </c:rich>
          </c:tx>
          <c:overlay val="0"/>
        </c:title>
        <c:numFmt formatCode="#,##0_);[Red]\(#,##0\)" sourceLinked="1"/>
        <c:majorTickMark val="out"/>
        <c:minorTickMark val="none"/>
        <c:tickLblPos val="nextTo"/>
        <c:crossAx val="175953024"/>
        <c:crosses val="autoZero"/>
        <c:crossBetween val="between"/>
      </c:valAx>
      <c:spPr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:spPr>
    </c:plotArea>
    <c:legend>
      <c:legendPos val="r"/>
      <c:layout>
        <c:manualLayout>
          <c:xMode val="edge"/>
          <c:yMode val="edge"/>
          <c:x val="0.8134622061131247"/>
          <c:y val="6.3339682677505782E-2"/>
          <c:w val="0.17478000435130794"/>
          <c:h val="0.11869319798402508"/>
        </c:manualLayout>
      </c:layout>
      <c:overlay val="0"/>
    </c:legend>
    <c:plotVisOnly val="1"/>
    <c:dispBlanksAs val="gap"/>
    <c:showDLblsOverMax val="0"/>
  </c:chart>
  <c:printSettings>
    <c:headerFooter/>
    <c:pageMargins b="0.75000000000000211" l="0.70000000000000062" r="0.70000000000000062" t="0.75000000000000211" header="0.30000000000000032" footer="0.30000000000000032"/>
    <c:pageSetup orientation="landscape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Creekmoor POA</a:t>
            </a:r>
          </a:p>
          <a:p>
            <a:pPr>
              <a:defRPr/>
            </a:pPr>
            <a:r>
              <a:rPr lang="en-US" sz="1400" baseline="0">
                <a:solidFill>
                  <a:srgbClr val="010DFF"/>
                </a:solidFill>
              </a:rPr>
              <a:t>EBITDA, Golf vs. Non-Golf Operations</a:t>
            </a:r>
          </a:p>
        </c:rich>
      </c:tx>
      <c:layout>
        <c:manualLayout>
          <c:xMode val="edge"/>
          <c:yMode val="edge"/>
          <c:x val="0.25676391203978155"/>
          <c:y val="3.635485804198102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6172768509254262"/>
          <c:y val="0.21074088703306623"/>
          <c:w val="0.759837044763361"/>
          <c:h val="0.70983913953104794"/>
        </c:manualLayout>
      </c:layout>
      <c:lineChart>
        <c:grouping val="standard"/>
        <c:varyColors val="0"/>
        <c:ser>
          <c:idx val="1"/>
          <c:order val="0"/>
          <c:tx>
            <c:v>Non Golf OPS</c:v>
          </c:tx>
          <c:marker>
            <c:symbol val="none"/>
          </c:marker>
          <c:cat>
            <c:numRef>
              <c:f>'2023 Budget'!$C$3:$AH$3</c:f>
              <c:numCache>
                <c:formatCode>General</c:formatCode>
                <c:ptCount val="22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  <c:pt idx="6">
                  <c:v>2025</c:v>
                </c:pt>
                <c:pt idx="7">
                  <c:v>2026</c:v>
                </c:pt>
                <c:pt idx="8">
                  <c:v>2027</c:v>
                </c:pt>
                <c:pt idx="9">
                  <c:v>2028</c:v>
                </c:pt>
                <c:pt idx="10">
                  <c:v>2029</c:v>
                </c:pt>
                <c:pt idx="11">
                  <c:v>2030</c:v>
                </c:pt>
                <c:pt idx="12">
                  <c:v>2031</c:v>
                </c:pt>
                <c:pt idx="13">
                  <c:v>2032</c:v>
                </c:pt>
                <c:pt idx="14">
                  <c:v>2033</c:v>
                </c:pt>
                <c:pt idx="15">
                  <c:v>2034</c:v>
                </c:pt>
                <c:pt idx="16">
                  <c:v>2035</c:v>
                </c:pt>
                <c:pt idx="17">
                  <c:v>2036</c:v>
                </c:pt>
                <c:pt idx="18">
                  <c:v>2037</c:v>
                </c:pt>
                <c:pt idx="19">
                  <c:v>2038</c:v>
                </c:pt>
                <c:pt idx="20">
                  <c:v>2039</c:v>
                </c:pt>
                <c:pt idx="21">
                  <c:v>2040</c:v>
                </c:pt>
              </c:numCache>
            </c:numRef>
          </c:cat>
          <c:val>
            <c:numRef>
              <c:f>'2023 Budget'!$C$75:$AH$75</c:f>
              <c:numCache>
                <c:formatCode>#,##0_);\(#,##0\)</c:formatCode>
                <c:ptCount val="22"/>
                <c:pt idx="0">
                  <c:v>181.32079000000056</c:v>
                </c:pt>
                <c:pt idx="1">
                  <c:v>246.90053000000029</c:v>
                </c:pt>
                <c:pt idx="2">
                  <c:v>246.6193999999997</c:v>
                </c:pt>
                <c:pt idx="3">
                  <c:v>211.7907799999999</c:v>
                </c:pt>
                <c:pt idx="4">
                  <c:v>292.55479999999932</c:v>
                </c:pt>
                <c:pt idx="5">
                  <c:v>374.10756804750014</c:v>
                </c:pt>
                <c:pt idx="6">
                  <c:v>469.5212699231252</c:v>
                </c:pt>
                <c:pt idx="7">
                  <c:v>573.16860870567393</c:v>
                </c:pt>
                <c:pt idx="8">
                  <c:v>685.62323990033406</c:v>
                </c:pt>
                <c:pt idx="9">
                  <c:v>807.49526525262092</c:v>
                </c:pt>
                <c:pt idx="10">
                  <c:v>939.43343317710719</c:v>
                </c:pt>
                <c:pt idx="11">
                  <c:v>1082.1274678117347</c:v>
                </c:pt>
                <c:pt idx="12">
                  <c:v>1236.3105340501302</c:v>
                </c:pt>
                <c:pt idx="13">
                  <c:v>1402.7618463177816</c:v>
                </c:pt>
                <c:pt idx="14">
                  <c:v>1544.2632914652784</c:v>
                </c:pt>
                <c:pt idx="15">
                  <c:v>1647.0352179039455</c:v>
                </c:pt>
                <c:pt idx="16">
                  <c:v>1709.4820130635396</c:v>
                </c:pt>
                <c:pt idx="17">
                  <c:v>1745.7743410967582</c:v>
                </c:pt>
                <c:pt idx="18">
                  <c:v>1782.7806356620083</c:v>
                </c:pt>
                <c:pt idx="19">
                  <c:v>1820.5129456725224</c:v>
                </c:pt>
                <c:pt idx="20">
                  <c:v>1858.9834472568689</c:v>
                </c:pt>
                <c:pt idx="21">
                  <c:v>1898.2044417191019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CFE-48D1-8D91-78914188AF30}"/>
            </c:ext>
          </c:extLst>
        </c:ser>
        <c:ser>
          <c:idx val="2"/>
          <c:order val="1"/>
          <c:tx>
            <c:v>Golf Ops</c:v>
          </c:tx>
          <c:spPr>
            <a:ln>
              <a:solidFill>
                <a:srgbClr val="010DFF"/>
              </a:solidFill>
            </a:ln>
          </c:spPr>
          <c:marker>
            <c:symbol val="none"/>
          </c:marker>
          <c:cat>
            <c:numRef>
              <c:f>'2023 Budget'!$C$3:$AH$3</c:f>
              <c:numCache>
                <c:formatCode>General</c:formatCode>
                <c:ptCount val="22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  <c:pt idx="6">
                  <c:v>2025</c:v>
                </c:pt>
                <c:pt idx="7">
                  <c:v>2026</c:v>
                </c:pt>
                <c:pt idx="8">
                  <c:v>2027</c:v>
                </c:pt>
                <c:pt idx="9">
                  <c:v>2028</c:v>
                </c:pt>
                <c:pt idx="10">
                  <c:v>2029</c:v>
                </c:pt>
                <c:pt idx="11">
                  <c:v>2030</c:v>
                </c:pt>
                <c:pt idx="12">
                  <c:v>2031</c:v>
                </c:pt>
                <c:pt idx="13">
                  <c:v>2032</c:v>
                </c:pt>
                <c:pt idx="14">
                  <c:v>2033</c:v>
                </c:pt>
                <c:pt idx="15">
                  <c:v>2034</c:v>
                </c:pt>
                <c:pt idx="16">
                  <c:v>2035</c:v>
                </c:pt>
                <c:pt idx="17">
                  <c:v>2036</c:v>
                </c:pt>
                <c:pt idx="18">
                  <c:v>2037</c:v>
                </c:pt>
                <c:pt idx="19">
                  <c:v>2038</c:v>
                </c:pt>
                <c:pt idx="20">
                  <c:v>2039</c:v>
                </c:pt>
                <c:pt idx="21">
                  <c:v>2040</c:v>
                </c:pt>
              </c:numCache>
            </c:numRef>
          </c:cat>
          <c:val>
            <c:numRef>
              <c:f>'2023 Budget'!$C$76:$AH$76</c:f>
              <c:numCache>
                <c:formatCode>#,##0_);\(#,##0\)</c:formatCode>
                <c:ptCount val="22"/>
                <c:pt idx="0">
                  <c:v>-129.12335000000041</c:v>
                </c:pt>
                <c:pt idx="1">
                  <c:v>41.534287000000006</c:v>
                </c:pt>
                <c:pt idx="2">
                  <c:v>182.74383</c:v>
                </c:pt>
                <c:pt idx="3">
                  <c:v>201.58676000000006</c:v>
                </c:pt>
                <c:pt idx="4">
                  <c:v>97.924640000000068</c:v>
                </c:pt>
                <c:pt idx="5">
                  <c:v>100.86237920000002</c:v>
                </c:pt>
                <c:pt idx="6">
                  <c:v>103.88825057599996</c:v>
                </c:pt>
                <c:pt idx="7">
                  <c:v>107.00489809327996</c:v>
                </c:pt>
                <c:pt idx="8">
                  <c:v>110.21504503607844</c:v>
                </c:pt>
                <c:pt idx="9">
                  <c:v>113.52149638716071</c:v>
                </c:pt>
                <c:pt idx="10">
                  <c:v>116.92714127877548</c:v>
                </c:pt>
                <c:pt idx="11">
                  <c:v>120.43495551713886</c:v>
                </c:pt>
                <c:pt idx="12">
                  <c:v>124.04800418265313</c:v>
                </c:pt>
                <c:pt idx="13">
                  <c:v>127.76944430813251</c:v>
                </c:pt>
                <c:pt idx="14">
                  <c:v>131.6025276373764</c:v>
                </c:pt>
                <c:pt idx="15">
                  <c:v>135.55060346649771</c:v>
                </c:pt>
                <c:pt idx="16">
                  <c:v>139.61712157049283</c:v>
                </c:pt>
                <c:pt idx="17">
                  <c:v>143.80563521760769</c:v>
                </c:pt>
                <c:pt idx="18">
                  <c:v>148.11980427413596</c:v>
                </c:pt>
                <c:pt idx="19">
                  <c:v>152.56339840236001</c:v>
                </c:pt>
                <c:pt idx="20">
                  <c:v>157.14030035443079</c:v>
                </c:pt>
                <c:pt idx="21">
                  <c:v>161.85450936506368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CFE-48D1-8D91-78914188AF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5862144"/>
        <c:axId val="175863680"/>
      </c:lineChart>
      <c:catAx>
        <c:axId val="17586214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low"/>
        <c:crossAx val="175863680"/>
        <c:crosses val="autoZero"/>
        <c:auto val="1"/>
        <c:lblAlgn val="ctr"/>
        <c:lblOffset val="100"/>
        <c:tickLblSkip val="3"/>
        <c:tickMarkSkip val="1"/>
        <c:noMultiLvlLbl val="0"/>
      </c:catAx>
      <c:valAx>
        <c:axId val="17586368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$ thousands</a:t>
                </a:r>
              </a:p>
            </c:rich>
          </c:tx>
          <c:overlay val="0"/>
        </c:title>
        <c:numFmt formatCode="#,##0_);\(#,##0\)" sourceLinked="1"/>
        <c:majorTickMark val="out"/>
        <c:minorTickMark val="none"/>
        <c:tickLblPos val="nextTo"/>
        <c:crossAx val="175862144"/>
        <c:crosses val="autoZero"/>
        <c:crossBetween val="between"/>
      </c:valAx>
      <c:spPr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:spPr>
    </c:plotArea>
    <c:legend>
      <c:legendPos val="r"/>
      <c:layout>
        <c:manualLayout>
          <c:xMode val="edge"/>
          <c:yMode val="edge"/>
          <c:x val="0.7881189237009778"/>
          <c:y val="5.0212019512669098E-2"/>
          <c:w val="0.17478678898153627"/>
          <c:h val="0.11869319798402508"/>
        </c:manualLayout>
      </c:layout>
      <c:overlay val="0"/>
    </c:legend>
    <c:plotVisOnly val="1"/>
    <c:dispBlanksAs val="gap"/>
    <c:showDLblsOverMax val="0"/>
  </c:chart>
  <c:printSettings>
    <c:headerFooter/>
    <c:pageMargins b="0.75000000000000211" l="0.70000000000000062" r="0.70000000000000062" t="0.75000000000000211" header="0.30000000000000032" footer="0.30000000000000032"/>
    <c:pageSetup orientation="landscape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Creekmoor POA</a:t>
            </a:r>
          </a:p>
          <a:p>
            <a:pPr>
              <a:defRPr/>
            </a:pPr>
            <a:r>
              <a:rPr lang="en-US" sz="1400" baseline="0">
                <a:solidFill>
                  <a:srgbClr val="010DFF"/>
                </a:solidFill>
              </a:rPr>
              <a:t>Loan Balance Forecast</a:t>
            </a:r>
          </a:p>
        </c:rich>
      </c:tx>
      <c:layout>
        <c:manualLayout>
          <c:xMode val="edge"/>
          <c:yMode val="edge"/>
          <c:x val="0.39316786810099558"/>
          <c:y val="2.956825656180833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26070815222172"/>
          <c:y val="0.21074088703306623"/>
          <c:w val="0.82874992477792131"/>
          <c:h val="0.70983913953104794"/>
        </c:manualLayout>
      </c:layout>
      <c:lineChart>
        <c:grouping val="standard"/>
        <c:varyColors val="0"/>
        <c:ser>
          <c:idx val="1"/>
          <c:order val="0"/>
          <c:tx>
            <c:v>WC LOAN</c:v>
          </c:tx>
          <c:spPr>
            <a:ln>
              <a:solidFill>
                <a:srgbClr val="FF0000"/>
              </a:solidFill>
            </a:ln>
          </c:spPr>
          <c:marker>
            <c:symbol val="none"/>
          </c:marker>
          <c:cat>
            <c:numRef>
              <c:f>'2025 Budget'!$C$3:$AH$3</c:f>
              <c:numCache>
                <c:formatCode>General</c:formatCode>
                <c:ptCount val="22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  <c:pt idx="6">
                  <c:v>2025</c:v>
                </c:pt>
                <c:pt idx="7">
                  <c:v>2026</c:v>
                </c:pt>
                <c:pt idx="8">
                  <c:v>2027</c:v>
                </c:pt>
                <c:pt idx="9">
                  <c:v>2028</c:v>
                </c:pt>
                <c:pt idx="10">
                  <c:v>2029</c:v>
                </c:pt>
                <c:pt idx="11">
                  <c:v>2030</c:v>
                </c:pt>
                <c:pt idx="12">
                  <c:v>2031</c:v>
                </c:pt>
                <c:pt idx="13">
                  <c:v>2032</c:v>
                </c:pt>
                <c:pt idx="14">
                  <c:v>2033</c:v>
                </c:pt>
                <c:pt idx="15">
                  <c:v>2034</c:v>
                </c:pt>
                <c:pt idx="16">
                  <c:v>2035</c:v>
                </c:pt>
                <c:pt idx="17">
                  <c:v>2036</c:v>
                </c:pt>
                <c:pt idx="18">
                  <c:v>2037</c:v>
                </c:pt>
                <c:pt idx="19">
                  <c:v>2038</c:v>
                </c:pt>
                <c:pt idx="20">
                  <c:v>2039</c:v>
                </c:pt>
                <c:pt idx="21">
                  <c:v>2040</c:v>
                </c:pt>
              </c:numCache>
            </c:numRef>
          </c:cat>
          <c:val>
            <c:numRef>
              <c:f>'2025 Budget'!$C$45:$AH$45</c:f>
              <c:numCache>
                <c:formatCode>#,##0_);[Red]\(#,##0\)</c:formatCode>
                <c:ptCount val="22"/>
                <c:pt idx="0">
                  <c:v>9368.2332700000006</c:v>
                </c:pt>
                <c:pt idx="1">
                  <c:v>9614.2332700000006</c:v>
                </c:pt>
                <c:pt idx="2">
                  <c:v>9748.4106700000011</c:v>
                </c:pt>
                <c:pt idx="3">
                  <c:v>9879.7340299999996</c:v>
                </c:pt>
                <c:pt idx="4">
                  <c:v>9900.8245299999999</c:v>
                </c:pt>
                <c:pt idx="5" formatCode="#,##0_);\(#,##0\)">
                  <c:v>9861.5775900000008</c:v>
                </c:pt>
                <c:pt idx="6">
                  <c:v>9699.2378200000003</c:v>
                </c:pt>
                <c:pt idx="7">
                  <c:v>9397.216634331251</c:v>
                </c:pt>
                <c:pt idx="8">
                  <c:v>8963.3062847189049</c:v>
                </c:pt>
                <c:pt idx="9">
                  <c:v>8393.0595447608175</c:v>
                </c:pt>
                <c:pt idx="10">
                  <c:v>7681.8738561158025</c:v>
                </c:pt>
                <c:pt idx="11">
                  <c:v>6944.9856056415783</c:v>
                </c:pt>
                <c:pt idx="12">
                  <c:v>6181.3641761668905</c:v>
                </c:pt>
                <c:pt idx="13">
                  <c:v>5389.9325111928119</c:v>
                </c:pt>
                <c:pt idx="14">
                  <c:v>4570.206947373872</c:v>
                </c:pt>
                <c:pt idx="15">
                  <c:v>3721.8787563154847</c:v>
                </c:pt>
                <c:pt idx="16">
                  <c:v>2844.6649564410236</c:v>
                </c:pt>
                <c:pt idx="17">
                  <c:v>1938.0428372304946</c:v>
                </c:pt>
                <c:pt idx="18">
                  <c:v>1001.0358215538581</c:v>
                </c:pt>
                <c:pt idx="19">
                  <c:v>41.035821553858113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79E-4C62-A87F-72D448439615}"/>
            </c:ext>
          </c:extLst>
        </c:ser>
        <c:ser>
          <c:idx val="2"/>
          <c:order val="1"/>
          <c:tx>
            <c:v>INFR LOAN</c:v>
          </c:tx>
          <c:spPr>
            <a:ln>
              <a:solidFill>
                <a:srgbClr val="010DFF"/>
              </a:solidFill>
            </a:ln>
          </c:spPr>
          <c:marker>
            <c:symbol val="none"/>
          </c:marker>
          <c:cat>
            <c:numRef>
              <c:f>'2025 Budget'!$C$3:$AH$3</c:f>
              <c:numCache>
                <c:formatCode>General</c:formatCode>
                <c:ptCount val="22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  <c:pt idx="6">
                  <c:v>2025</c:v>
                </c:pt>
                <c:pt idx="7">
                  <c:v>2026</c:v>
                </c:pt>
                <c:pt idx="8">
                  <c:v>2027</c:v>
                </c:pt>
                <c:pt idx="9">
                  <c:v>2028</c:v>
                </c:pt>
                <c:pt idx="10">
                  <c:v>2029</c:v>
                </c:pt>
                <c:pt idx="11">
                  <c:v>2030</c:v>
                </c:pt>
                <c:pt idx="12">
                  <c:v>2031</c:v>
                </c:pt>
                <c:pt idx="13">
                  <c:v>2032</c:v>
                </c:pt>
                <c:pt idx="14">
                  <c:v>2033</c:v>
                </c:pt>
                <c:pt idx="15">
                  <c:v>2034</c:v>
                </c:pt>
                <c:pt idx="16">
                  <c:v>2035</c:v>
                </c:pt>
                <c:pt idx="17">
                  <c:v>2036</c:v>
                </c:pt>
                <c:pt idx="18">
                  <c:v>2037</c:v>
                </c:pt>
                <c:pt idx="19">
                  <c:v>2038</c:v>
                </c:pt>
                <c:pt idx="20">
                  <c:v>2039</c:v>
                </c:pt>
                <c:pt idx="21">
                  <c:v>2040</c:v>
                </c:pt>
              </c:numCache>
            </c:numRef>
          </c:cat>
          <c:val>
            <c:numRef>
              <c:f>'2025 Budget'!$C$46:$AH$46</c:f>
              <c:numCache>
                <c:formatCode>_(* #,##0_);_(* \(#,##0\);_(* "-"??_);_(@_)</c:formatCode>
                <c:ptCount val="22"/>
                <c:pt idx="0">
                  <c:v>7500</c:v>
                </c:pt>
                <c:pt idx="1">
                  <c:v>7500</c:v>
                </c:pt>
                <c:pt idx="2">
                  <c:v>7500</c:v>
                </c:pt>
                <c:pt idx="3">
                  <c:v>7500</c:v>
                </c:pt>
                <c:pt idx="4">
                  <c:v>7500</c:v>
                </c:pt>
                <c:pt idx="5" formatCode="#,##0_);\(#,##0\)">
                  <c:v>7500</c:v>
                </c:pt>
                <c:pt idx="6">
                  <c:v>7500</c:v>
                </c:pt>
                <c:pt idx="7">
                  <c:v>7500</c:v>
                </c:pt>
                <c:pt idx="8">
                  <c:v>7500</c:v>
                </c:pt>
                <c:pt idx="9">
                  <c:v>7500</c:v>
                </c:pt>
                <c:pt idx="10">
                  <c:v>7500</c:v>
                </c:pt>
                <c:pt idx="11">
                  <c:v>7500</c:v>
                </c:pt>
                <c:pt idx="12">
                  <c:v>7500</c:v>
                </c:pt>
                <c:pt idx="13">
                  <c:v>7500</c:v>
                </c:pt>
                <c:pt idx="14">
                  <c:v>7500</c:v>
                </c:pt>
                <c:pt idx="15">
                  <c:v>7500</c:v>
                </c:pt>
                <c:pt idx="16">
                  <c:v>7500</c:v>
                </c:pt>
                <c:pt idx="17">
                  <c:v>7500</c:v>
                </c:pt>
                <c:pt idx="18">
                  <c:v>7500</c:v>
                </c:pt>
                <c:pt idx="19">
                  <c:v>7500</c:v>
                </c:pt>
                <c:pt idx="20">
                  <c:v>6540</c:v>
                </c:pt>
                <c:pt idx="21">
                  <c:v>5580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79E-4C62-A87F-72D4484396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5953024"/>
        <c:axId val="175954560"/>
      </c:lineChart>
      <c:catAx>
        <c:axId val="17595302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low"/>
        <c:crossAx val="175954560"/>
        <c:crosses val="autoZero"/>
        <c:auto val="1"/>
        <c:lblAlgn val="ctr"/>
        <c:lblOffset val="100"/>
        <c:tickLblSkip val="3"/>
        <c:tickMarkSkip val="1"/>
        <c:noMultiLvlLbl val="0"/>
      </c:catAx>
      <c:valAx>
        <c:axId val="175954560"/>
        <c:scaling>
          <c:orientation val="minMax"/>
          <c:min val="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$ thousands</a:t>
                </a:r>
              </a:p>
            </c:rich>
          </c:tx>
          <c:overlay val="0"/>
        </c:title>
        <c:numFmt formatCode="#,##0_);[Red]\(#,##0\)" sourceLinked="1"/>
        <c:majorTickMark val="out"/>
        <c:minorTickMark val="none"/>
        <c:tickLblPos val="nextTo"/>
        <c:crossAx val="175953024"/>
        <c:crosses val="autoZero"/>
        <c:crossBetween val="between"/>
      </c:valAx>
      <c:spPr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:spPr>
    </c:plotArea>
    <c:legend>
      <c:legendPos val="r"/>
      <c:layout>
        <c:manualLayout>
          <c:xMode val="edge"/>
          <c:yMode val="edge"/>
          <c:x val="0.8134622061131247"/>
          <c:y val="6.3339682677505782E-2"/>
          <c:w val="0.17478000435130794"/>
          <c:h val="0.11869319798402508"/>
        </c:manualLayout>
      </c:layout>
      <c:overlay val="0"/>
    </c:legend>
    <c:plotVisOnly val="1"/>
    <c:dispBlanksAs val="gap"/>
    <c:showDLblsOverMax val="0"/>
  </c:chart>
  <c:printSettings>
    <c:headerFooter/>
    <c:pageMargins b="0.75000000000000211" l="0.70000000000000062" r="0.70000000000000062" t="0.75000000000000211" header="0.30000000000000032" footer="0.30000000000000032"/>
    <c:pageSetup orientation="landscape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Creekmoor POA</a:t>
            </a:r>
          </a:p>
          <a:p>
            <a:pPr>
              <a:defRPr/>
            </a:pPr>
            <a:r>
              <a:rPr lang="en-US" sz="1400" baseline="0">
                <a:solidFill>
                  <a:srgbClr val="010DFF"/>
                </a:solidFill>
              </a:rPr>
              <a:t>EBITDA, Golf vs. Non-Golf Operations</a:t>
            </a:r>
          </a:p>
        </c:rich>
      </c:tx>
      <c:layout>
        <c:manualLayout>
          <c:xMode val="edge"/>
          <c:yMode val="edge"/>
          <c:x val="0.25676391203978155"/>
          <c:y val="3.635485804198102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6172768509254262"/>
          <c:y val="0.21074088703306623"/>
          <c:w val="0.759837044763361"/>
          <c:h val="0.70983913953104794"/>
        </c:manualLayout>
      </c:layout>
      <c:lineChart>
        <c:grouping val="standard"/>
        <c:varyColors val="0"/>
        <c:ser>
          <c:idx val="1"/>
          <c:order val="0"/>
          <c:tx>
            <c:v>Non Golf OPS</c:v>
          </c:tx>
          <c:marker>
            <c:symbol val="none"/>
          </c:marker>
          <c:cat>
            <c:numRef>
              <c:f>'2025 Budget'!$C$3:$AH$3</c:f>
              <c:numCache>
                <c:formatCode>General</c:formatCode>
                <c:ptCount val="22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  <c:pt idx="6">
                  <c:v>2025</c:v>
                </c:pt>
                <c:pt idx="7">
                  <c:v>2026</c:v>
                </c:pt>
                <c:pt idx="8">
                  <c:v>2027</c:v>
                </c:pt>
                <c:pt idx="9">
                  <c:v>2028</c:v>
                </c:pt>
                <c:pt idx="10">
                  <c:v>2029</c:v>
                </c:pt>
                <c:pt idx="11">
                  <c:v>2030</c:v>
                </c:pt>
                <c:pt idx="12">
                  <c:v>2031</c:v>
                </c:pt>
                <c:pt idx="13">
                  <c:v>2032</c:v>
                </c:pt>
                <c:pt idx="14">
                  <c:v>2033</c:v>
                </c:pt>
                <c:pt idx="15">
                  <c:v>2034</c:v>
                </c:pt>
                <c:pt idx="16">
                  <c:v>2035</c:v>
                </c:pt>
                <c:pt idx="17">
                  <c:v>2036</c:v>
                </c:pt>
                <c:pt idx="18">
                  <c:v>2037</c:v>
                </c:pt>
                <c:pt idx="19">
                  <c:v>2038</c:v>
                </c:pt>
                <c:pt idx="20">
                  <c:v>2039</c:v>
                </c:pt>
                <c:pt idx="21">
                  <c:v>2040</c:v>
                </c:pt>
              </c:numCache>
            </c:numRef>
          </c:cat>
          <c:val>
            <c:numRef>
              <c:f>'2025 Budget'!$C$75:$AH$75</c:f>
              <c:numCache>
                <c:formatCode>#,##0_);\(#,##0\)</c:formatCode>
                <c:ptCount val="22"/>
                <c:pt idx="0">
                  <c:v>181.32079000000056</c:v>
                </c:pt>
                <c:pt idx="1">
                  <c:v>246.90053000000029</c:v>
                </c:pt>
                <c:pt idx="2">
                  <c:v>246.6193999999997</c:v>
                </c:pt>
                <c:pt idx="3">
                  <c:v>228.43538999999973</c:v>
                </c:pt>
                <c:pt idx="4">
                  <c:v>222.65365999999989</c:v>
                </c:pt>
                <c:pt idx="5">
                  <c:v>164.96416999999977</c:v>
                </c:pt>
                <c:pt idx="6">
                  <c:v>296.5194799999997</c:v>
                </c:pt>
                <c:pt idx="7">
                  <c:v>414.92672959999982</c:v>
                </c:pt>
                <c:pt idx="8">
                  <c:v>523.13348316799954</c:v>
                </c:pt>
                <c:pt idx="9">
                  <c:v>640.65562775504009</c:v>
                </c:pt>
                <c:pt idx="10">
                  <c:v>768.14014655369101</c:v>
                </c:pt>
                <c:pt idx="11">
                  <c:v>906.27501142747212</c:v>
                </c:pt>
                <c:pt idx="12">
                  <c:v>1055.7916516848381</c:v>
                </c:pt>
                <c:pt idx="13">
                  <c:v>1217.4675668798427</c:v>
                </c:pt>
                <c:pt idx="14">
                  <c:v>1352.6124992535101</c:v>
                </c:pt>
                <c:pt idx="15">
                  <c:v>1449.4736620680983</c:v>
                </c:pt>
                <c:pt idx="16">
                  <c:v>1505.8283396984521</c:v>
                </c:pt>
                <c:pt idx="17">
                  <c:v>1535.8416549051967</c:v>
                </c:pt>
                <c:pt idx="18">
                  <c:v>1566.3763311935368</c:v>
                </c:pt>
                <c:pt idx="19">
                  <c:v>1597.4385334365593</c:v>
                </c:pt>
                <c:pt idx="20">
                  <c:v>1629.0343745545526</c:v>
                </c:pt>
                <c:pt idx="21">
                  <c:v>1661.1699080339574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CEC-464B-BF0F-6D24D4260088}"/>
            </c:ext>
          </c:extLst>
        </c:ser>
        <c:ser>
          <c:idx val="2"/>
          <c:order val="1"/>
          <c:tx>
            <c:v>Golf Ops</c:v>
          </c:tx>
          <c:spPr>
            <a:ln>
              <a:solidFill>
                <a:srgbClr val="010DFF"/>
              </a:solidFill>
            </a:ln>
          </c:spPr>
          <c:marker>
            <c:symbol val="none"/>
          </c:marker>
          <c:cat>
            <c:numRef>
              <c:f>'2025 Budget'!$C$3:$AH$3</c:f>
              <c:numCache>
                <c:formatCode>General</c:formatCode>
                <c:ptCount val="22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  <c:pt idx="6">
                  <c:v>2025</c:v>
                </c:pt>
                <c:pt idx="7">
                  <c:v>2026</c:v>
                </c:pt>
                <c:pt idx="8">
                  <c:v>2027</c:v>
                </c:pt>
                <c:pt idx="9">
                  <c:v>2028</c:v>
                </c:pt>
                <c:pt idx="10">
                  <c:v>2029</c:v>
                </c:pt>
                <c:pt idx="11">
                  <c:v>2030</c:v>
                </c:pt>
                <c:pt idx="12">
                  <c:v>2031</c:v>
                </c:pt>
                <c:pt idx="13">
                  <c:v>2032</c:v>
                </c:pt>
                <c:pt idx="14">
                  <c:v>2033</c:v>
                </c:pt>
                <c:pt idx="15">
                  <c:v>2034</c:v>
                </c:pt>
                <c:pt idx="16">
                  <c:v>2035</c:v>
                </c:pt>
                <c:pt idx="17">
                  <c:v>2036</c:v>
                </c:pt>
                <c:pt idx="18">
                  <c:v>2037</c:v>
                </c:pt>
                <c:pt idx="19">
                  <c:v>2038</c:v>
                </c:pt>
                <c:pt idx="20">
                  <c:v>2039</c:v>
                </c:pt>
                <c:pt idx="21">
                  <c:v>2040</c:v>
                </c:pt>
              </c:numCache>
            </c:numRef>
          </c:cat>
          <c:val>
            <c:numRef>
              <c:f>'2025 Budget'!$C$76:$AH$76</c:f>
              <c:numCache>
                <c:formatCode>#,##0_);\(#,##0\)</c:formatCode>
                <c:ptCount val="22"/>
                <c:pt idx="0">
                  <c:v>-129.12335000000041</c:v>
                </c:pt>
                <c:pt idx="1">
                  <c:v>41.534287000000006</c:v>
                </c:pt>
                <c:pt idx="2">
                  <c:v>182.74383</c:v>
                </c:pt>
                <c:pt idx="3">
                  <c:v>201.58676000000006</c:v>
                </c:pt>
                <c:pt idx="4">
                  <c:v>399.67806999999999</c:v>
                </c:pt>
                <c:pt idx="5">
                  <c:v>684.99526000000014</c:v>
                </c:pt>
                <c:pt idx="6">
                  <c:v>627.56418000000008</c:v>
                </c:pt>
                <c:pt idx="7">
                  <c:v>646.39110540000001</c:v>
                </c:pt>
                <c:pt idx="8">
                  <c:v>665.78283856200017</c:v>
                </c:pt>
                <c:pt idx="9">
                  <c:v>685.75632371886036</c:v>
                </c:pt>
                <c:pt idx="10">
                  <c:v>706.32901343042613</c:v>
                </c:pt>
                <c:pt idx="11">
                  <c:v>727.51888383333892</c:v>
                </c:pt>
                <c:pt idx="12">
                  <c:v>749.34445034833925</c:v>
                </c:pt>
                <c:pt idx="13">
                  <c:v>771.82478385878949</c:v>
                </c:pt>
                <c:pt idx="14">
                  <c:v>794.97952737455307</c:v>
                </c:pt>
                <c:pt idx="15">
                  <c:v>818.82891319578994</c:v>
                </c:pt>
                <c:pt idx="16">
                  <c:v>843.39378059166347</c:v>
                </c:pt>
                <c:pt idx="17">
                  <c:v>868.69559400941307</c:v>
                </c:pt>
                <c:pt idx="18">
                  <c:v>894.75646182969558</c:v>
                </c:pt>
                <c:pt idx="19">
                  <c:v>921.59915568458655</c:v>
                </c:pt>
                <c:pt idx="20">
                  <c:v>949.247130355124</c:v>
                </c:pt>
                <c:pt idx="21">
                  <c:v>977.72454426577792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CEC-464B-BF0F-6D24D426008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5862144"/>
        <c:axId val="175863680"/>
      </c:lineChart>
      <c:catAx>
        <c:axId val="17586214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low"/>
        <c:crossAx val="175863680"/>
        <c:crosses val="autoZero"/>
        <c:auto val="1"/>
        <c:lblAlgn val="ctr"/>
        <c:lblOffset val="100"/>
        <c:tickLblSkip val="3"/>
        <c:tickMarkSkip val="1"/>
        <c:noMultiLvlLbl val="0"/>
      </c:catAx>
      <c:valAx>
        <c:axId val="17586368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$ thousands</a:t>
                </a:r>
              </a:p>
            </c:rich>
          </c:tx>
          <c:overlay val="0"/>
        </c:title>
        <c:numFmt formatCode="#,##0_);\(#,##0\)" sourceLinked="1"/>
        <c:majorTickMark val="out"/>
        <c:minorTickMark val="none"/>
        <c:tickLblPos val="nextTo"/>
        <c:crossAx val="175862144"/>
        <c:crosses val="autoZero"/>
        <c:crossBetween val="between"/>
      </c:valAx>
      <c:spPr>
        <a:gradFill>
          <a:gsLst>
            <a:gs pos="0">
              <a:srgbClr val="4F81BD">
                <a:tint val="66000"/>
                <a:satMod val="160000"/>
              </a:srgbClr>
            </a:gs>
            <a:gs pos="50000">
              <a:srgbClr val="4F81BD">
                <a:tint val="44500"/>
                <a:satMod val="160000"/>
              </a:srgbClr>
            </a:gs>
            <a:gs pos="100000">
              <a:srgbClr val="4F81BD">
                <a:tint val="23500"/>
                <a:satMod val="160000"/>
              </a:srgbClr>
            </a:gs>
          </a:gsLst>
          <a:lin ang="5400000" scaled="0"/>
        </a:gradFill>
      </c:spPr>
    </c:plotArea>
    <c:legend>
      <c:legendPos val="r"/>
      <c:layout>
        <c:manualLayout>
          <c:xMode val="edge"/>
          <c:yMode val="edge"/>
          <c:x val="0.7881189237009778"/>
          <c:y val="5.0212019512669098E-2"/>
          <c:w val="0.17478678898153627"/>
          <c:h val="0.11869319798402508"/>
        </c:manualLayout>
      </c:layout>
      <c:overlay val="0"/>
    </c:legend>
    <c:plotVisOnly val="1"/>
    <c:dispBlanksAs val="gap"/>
    <c:showDLblsOverMax val="0"/>
  </c:chart>
  <c:printSettings>
    <c:headerFooter/>
    <c:pageMargins b="0.75000000000000211" l="0.70000000000000062" r="0.70000000000000062" t="0.75000000000000211" header="0.30000000000000032" footer="0.30000000000000032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1.xml"/><Relationship Id="rId1" Type="http://schemas.openxmlformats.org/officeDocument/2006/relationships/chart" Target="../charts/chart10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3.xml"/><Relationship Id="rId1" Type="http://schemas.openxmlformats.org/officeDocument/2006/relationships/chart" Target="../charts/chart12.xml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6.xml"/><Relationship Id="rId2" Type="http://schemas.openxmlformats.org/officeDocument/2006/relationships/chart" Target="../charts/chart15.xml"/><Relationship Id="rId1" Type="http://schemas.openxmlformats.org/officeDocument/2006/relationships/chart" Target="../charts/chart14.xml"/><Relationship Id="rId4" Type="http://schemas.openxmlformats.org/officeDocument/2006/relationships/chart" Target="../charts/chart17.xm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9.xml"/><Relationship Id="rId1" Type="http://schemas.openxmlformats.org/officeDocument/2006/relationships/chart" Target="../charts/chart18.xm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1.xml"/><Relationship Id="rId1" Type="http://schemas.openxmlformats.org/officeDocument/2006/relationships/chart" Target="../charts/chart20.xm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3.xml"/><Relationship Id="rId1" Type="http://schemas.openxmlformats.org/officeDocument/2006/relationships/chart" Target="../charts/chart22.xml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5.xml"/><Relationship Id="rId1" Type="http://schemas.openxmlformats.org/officeDocument/2006/relationships/chart" Target="../charts/chart24.xml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7.xml"/><Relationship Id="rId1" Type="http://schemas.openxmlformats.org/officeDocument/2006/relationships/chart" Target="../charts/chart26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9.xml"/><Relationship Id="rId1" Type="http://schemas.openxmlformats.org/officeDocument/2006/relationships/chart" Target="../charts/chart28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9524</xdr:colOff>
      <xdr:row>42</xdr:row>
      <xdr:rowOff>180974</xdr:rowOff>
    </xdr:from>
    <xdr:to>
      <xdr:col>17</xdr:col>
      <xdr:colOff>638174</xdr:colOff>
      <xdr:row>63</xdr:row>
      <xdr:rowOff>19050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9524</xdr:colOff>
      <xdr:row>45</xdr:row>
      <xdr:rowOff>180974</xdr:rowOff>
    </xdr:from>
    <xdr:to>
      <xdr:col>17</xdr:col>
      <xdr:colOff>638174</xdr:colOff>
      <xdr:row>66</xdr:row>
      <xdr:rowOff>19050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19049</xdr:colOff>
      <xdr:row>45</xdr:row>
      <xdr:rowOff>152399</xdr:rowOff>
    </xdr:from>
    <xdr:to>
      <xdr:col>18</xdr:col>
      <xdr:colOff>9524</xdr:colOff>
      <xdr:row>65</xdr:row>
      <xdr:rowOff>180975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19049</xdr:colOff>
      <xdr:row>45</xdr:row>
      <xdr:rowOff>152399</xdr:rowOff>
    </xdr:from>
    <xdr:to>
      <xdr:col>18</xdr:col>
      <xdr:colOff>9524</xdr:colOff>
      <xdr:row>65</xdr:row>
      <xdr:rowOff>180975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11429</xdr:colOff>
      <xdr:row>46</xdr:row>
      <xdr:rowOff>175259</xdr:rowOff>
    </xdr:from>
    <xdr:to>
      <xdr:col>18</xdr:col>
      <xdr:colOff>1904</xdr:colOff>
      <xdr:row>67</xdr:row>
      <xdr:rowOff>20955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49</xdr:row>
      <xdr:rowOff>48258</xdr:rowOff>
    </xdr:from>
    <xdr:to>
      <xdr:col>10</xdr:col>
      <xdr:colOff>558801</xdr:colOff>
      <xdr:row>69</xdr:row>
      <xdr:rowOff>107949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0</xdr:colOff>
      <xdr:row>49</xdr:row>
      <xdr:rowOff>0</xdr:rowOff>
    </xdr:from>
    <xdr:to>
      <xdr:col>23</xdr:col>
      <xdr:colOff>533400</xdr:colOff>
      <xdr:row>69</xdr:row>
      <xdr:rowOff>59691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49</xdr:row>
      <xdr:rowOff>48258</xdr:rowOff>
    </xdr:from>
    <xdr:to>
      <xdr:col>10</xdr:col>
      <xdr:colOff>558801</xdr:colOff>
      <xdr:row>69</xdr:row>
      <xdr:rowOff>107949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0</xdr:colOff>
      <xdr:row>49</xdr:row>
      <xdr:rowOff>0</xdr:rowOff>
    </xdr:from>
    <xdr:to>
      <xdr:col>23</xdr:col>
      <xdr:colOff>533400</xdr:colOff>
      <xdr:row>69</xdr:row>
      <xdr:rowOff>59691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50</xdr:row>
      <xdr:rowOff>48258</xdr:rowOff>
    </xdr:from>
    <xdr:to>
      <xdr:col>14</xdr:col>
      <xdr:colOff>295275</xdr:colOff>
      <xdr:row>70</xdr:row>
      <xdr:rowOff>107949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561975</xdr:colOff>
      <xdr:row>50</xdr:row>
      <xdr:rowOff>9525</xdr:rowOff>
    </xdr:from>
    <xdr:to>
      <xdr:col>28</xdr:col>
      <xdr:colOff>571499</xdr:colOff>
      <xdr:row>70</xdr:row>
      <xdr:rowOff>69216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50</xdr:row>
      <xdr:rowOff>48258</xdr:rowOff>
    </xdr:from>
    <xdr:to>
      <xdr:col>14</xdr:col>
      <xdr:colOff>295275</xdr:colOff>
      <xdr:row>70</xdr:row>
      <xdr:rowOff>107949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CBCA95A4-5B56-4A1E-8B94-5FAC09E4A89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561975</xdr:colOff>
      <xdr:row>50</xdr:row>
      <xdr:rowOff>9525</xdr:rowOff>
    </xdr:from>
    <xdr:to>
      <xdr:col>28</xdr:col>
      <xdr:colOff>571499</xdr:colOff>
      <xdr:row>70</xdr:row>
      <xdr:rowOff>69216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943C36A5-5BFD-44D1-9FEF-2623DC591EF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50</xdr:row>
      <xdr:rowOff>48258</xdr:rowOff>
    </xdr:from>
    <xdr:to>
      <xdr:col>16</xdr:col>
      <xdr:colOff>266701</xdr:colOff>
      <xdr:row>70</xdr:row>
      <xdr:rowOff>107949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D1EE811-E8CA-4682-8F9C-87AC7F4AEC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18</xdr:col>
      <xdr:colOff>28575</xdr:colOff>
      <xdr:row>50</xdr:row>
      <xdr:rowOff>0</xdr:rowOff>
    </xdr:from>
    <xdr:to>
      <xdr:col>33</xdr:col>
      <xdr:colOff>380999</xdr:colOff>
      <xdr:row>70</xdr:row>
      <xdr:rowOff>59691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A5FDA260-D5F0-4637-B87A-98EFE83578D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</xdr:colOff>
      <xdr:row>50</xdr:row>
      <xdr:rowOff>48258</xdr:rowOff>
    </xdr:from>
    <xdr:to>
      <xdr:col>16</xdr:col>
      <xdr:colOff>266701</xdr:colOff>
      <xdr:row>70</xdr:row>
      <xdr:rowOff>107949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7A474CF1-7734-4603-87F9-92E6BC0D29A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18</xdr:col>
      <xdr:colOff>28575</xdr:colOff>
      <xdr:row>50</xdr:row>
      <xdr:rowOff>0</xdr:rowOff>
    </xdr:from>
    <xdr:to>
      <xdr:col>33</xdr:col>
      <xdr:colOff>380999</xdr:colOff>
      <xdr:row>70</xdr:row>
      <xdr:rowOff>59691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37DF3995-7FF0-4E00-A22C-57E1C91E99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50</xdr:row>
      <xdr:rowOff>48258</xdr:rowOff>
    </xdr:from>
    <xdr:to>
      <xdr:col>16</xdr:col>
      <xdr:colOff>266701</xdr:colOff>
      <xdr:row>70</xdr:row>
      <xdr:rowOff>107949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FE4E66B2-B656-40BB-A97D-1D79055A5FB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18</xdr:col>
      <xdr:colOff>28575</xdr:colOff>
      <xdr:row>50</xdr:row>
      <xdr:rowOff>0</xdr:rowOff>
    </xdr:from>
    <xdr:to>
      <xdr:col>33</xdr:col>
      <xdr:colOff>380999</xdr:colOff>
      <xdr:row>70</xdr:row>
      <xdr:rowOff>59691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57E39A3D-20A8-483E-99C4-EA3684124F6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51</xdr:row>
      <xdr:rowOff>48258</xdr:rowOff>
    </xdr:from>
    <xdr:to>
      <xdr:col>16</xdr:col>
      <xdr:colOff>266701</xdr:colOff>
      <xdr:row>71</xdr:row>
      <xdr:rowOff>107949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C006E7F-5433-4AEA-A624-D5CC8C4A3BA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18</xdr:col>
      <xdr:colOff>114300</xdr:colOff>
      <xdr:row>51</xdr:row>
      <xdr:rowOff>66675</xdr:rowOff>
    </xdr:from>
    <xdr:to>
      <xdr:col>33</xdr:col>
      <xdr:colOff>466724</xdr:colOff>
      <xdr:row>71</xdr:row>
      <xdr:rowOff>126366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C3E0218F-E022-4A76-9997-5FCCC7655EA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51</xdr:row>
      <xdr:rowOff>48258</xdr:rowOff>
    </xdr:from>
    <xdr:to>
      <xdr:col>16</xdr:col>
      <xdr:colOff>266701</xdr:colOff>
      <xdr:row>71</xdr:row>
      <xdr:rowOff>107949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D1EDD68-0A2E-4D0D-B2A6-972F41B0D2B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18</xdr:col>
      <xdr:colOff>114300</xdr:colOff>
      <xdr:row>51</xdr:row>
      <xdr:rowOff>66675</xdr:rowOff>
    </xdr:from>
    <xdr:to>
      <xdr:col>33</xdr:col>
      <xdr:colOff>466724</xdr:colOff>
      <xdr:row>71</xdr:row>
      <xdr:rowOff>126366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27C80621-0AD9-4D73-9B28-103505F199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104776</xdr:colOff>
      <xdr:row>51</xdr:row>
      <xdr:rowOff>48258</xdr:rowOff>
    </xdr:from>
    <xdr:to>
      <xdr:col>23</xdr:col>
      <xdr:colOff>0</xdr:colOff>
      <xdr:row>71</xdr:row>
      <xdr:rowOff>107949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1A7527A2-1915-46DB-8E1E-2EC507A6F28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23</xdr:col>
      <xdr:colOff>266700</xdr:colOff>
      <xdr:row>51</xdr:row>
      <xdr:rowOff>47625</xdr:rowOff>
    </xdr:from>
    <xdr:to>
      <xdr:col>33</xdr:col>
      <xdr:colOff>561974</xdr:colOff>
      <xdr:row>71</xdr:row>
      <xdr:rowOff>107316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9E521BF0-DD13-49CA-9138-99ED33397C3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104776</xdr:colOff>
      <xdr:row>51</xdr:row>
      <xdr:rowOff>48258</xdr:rowOff>
    </xdr:from>
    <xdr:to>
      <xdr:col>23</xdr:col>
      <xdr:colOff>0</xdr:colOff>
      <xdr:row>71</xdr:row>
      <xdr:rowOff>107949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B037CC26-C219-48E8-9E71-E4A7A633FB7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23</xdr:col>
      <xdr:colOff>266700</xdr:colOff>
      <xdr:row>51</xdr:row>
      <xdr:rowOff>47625</xdr:rowOff>
    </xdr:from>
    <xdr:to>
      <xdr:col>33</xdr:col>
      <xdr:colOff>561974</xdr:colOff>
      <xdr:row>71</xdr:row>
      <xdr:rowOff>107316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F849B696-7DDC-4141-A709-905A8967031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104776</xdr:colOff>
      <xdr:row>51</xdr:row>
      <xdr:rowOff>48258</xdr:rowOff>
    </xdr:from>
    <xdr:to>
      <xdr:col>23</xdr:col>
      <xdr:colOff>0</xdr:colOff>
      <xdr:row>71</xdr:row>
      <xdr:rowOff>107949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8488BF5-2345-46F4-9452-8B6A5A62200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23</xdr:col>
      <xdr:colOff>266700</xdr:colOff>
      <xdr:row>51</xdr:row>
      <xdr:rowOff>47625</xdr:rowOff>
    </xdr:from>
    <xdr:to>
      <xdr:col>33</xdr:col>
      <xdr:colOff>561974</xdr:colOff>
      <xdr:row>71</xdr:row>
      <xdr:rowOff>107316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3D47376B-F036-4D36-97FE-B4170CBE1CE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Sandy Dolence" id="{A548388A-FA31-47E9-B305-54379AD345FE}" userId="e096d8875b1f0c8d" providerId="Windows Live"/>
</personList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N5" dT="2020-01-08T17:21:23.35" personId="{A548388A-FA31-47E9-B305-54379AD345FE}" id="{7AB9C306-40F9-44BB-8AD9-E3EAB2AF1717}">
    <text>This is higher, because our 2019 year end number is higher than the budget beginning number</text>
  </threadedComment>
  <threadedComment ref="N25" dT="2019-12-21T21:43:05.35" personId="{A548388A-FA31-47E9-B305-54379AD345FE}" id="{0FB2C593-5436-4A96-8374-F841AEE6810E}">
    <text>First year with revenue line</text>
  </threadedComment>
</ThreadedComments>
</file>

<file path=xl/threadedComments/threadedComment2.xml><?xml version="1.0" encoding="utf-8"?>
<ThreadedComments xmlns="http://schemas.microsoft.com/office/spreadsheetml/2018/threadedcomments" xmlns:x="http://schemas.openxmlformats.org/spreadsheetml/2006/main">
  <threadedComment ref="N25" dT="2019-12-21T21:43:05.35" personId="{A548388A-FA31-47E9-B305-54379AD345FE}" id="{5B77304D-28B1-4846-A8DA-8447C101E59F}">
    <text>First year with revenue line</text>
  </threadedComment>
  <threadedComment ref="O28" dT="2021-01-29T21:22:56.26" personId="{A548388A-FA31-47E9-B305-54379AD345FE}" id="{00A5A4B6-1F74-485D-98DB-242439546F26}">
    <text>Budget is $28K, but did not include Cunningham asset-tax bill 2020 $13.5K</text>
  </threadedComment>
  <threadedComment ref="O36" dT="2021-01-29T21:54:16.92" personId="{A548388A-FA31-47E9-B305-54379AD345FE}" id="{C8E8B7EB-A55D-4213-A458-203B5A94D5BC}">
    <text>Concrete repair in front of Clubhouse</text>
  </threadedComment>
  <threadedComment ref="N39" dT="2021-02-03T16:46:25.67" personId="{A548388A-FA31-47E9-B305-54379AD345FE}" id="{2D81C866-1F38-4332-8FF2-6F86CBD8926C}">
    <text>This is post PPP loan distribution</text>
  </threadedComment>
  <threadedComment ref="N43" dT="2021-01-29T21:54:00.86" personId="{A548388A-FA31-47E9-B305-54379AD345FE}" id="{9E28942C-949D-474D-9069-777575FB61C8}">
    <text>Plugged to Cash Flow change as PPP loan impacts not shown here.</text>
  </threadedComment>
</ThreadedComments>
</file>

<file path=xl/threadedComments/threadedComment3.xml><?xml version="1.0" encoding="utf-8"?>
<ThreadedComments xmlns="http://schemas.microsoft.com/office/spreadsheetml/2018/threadedcomments" xmlns:x="http://schemas.openxmlformats.org/spreadsheetml/2006/main">
  <threadedComment ref="N26" dT="2019-12-21T21:43:05.35" personId="{A548388A-FA31-47E9-B305-54379AD345FE}" id="{E7742CD8-10C4-4E99-9B29-D6C3BF570CFB}">
    <text>First year with revenue line</text>
  </threadedComment>
  <threadedComment ref="O36" dT="2022-01-14T20:05:32.88" personId="{A548388A-FA31-47E9-B305-54379AD345FE}" id="{58A25B35-40E7-4690-9BA9-F2EDF0AA91A7}">
    <text>1801-000 WIP construction acct 2021</text>
  </threadedComment>
  <threadedComment ref="N39" dT="2021-02-03T16:46:25.67" personId="{A548388A-FA31-47E9-B305-54379AD345FE}" id="{A71E241A-B573-4178-92F6-21C015D757C4}">
    <text>This is post PPP loan distribution</text>
  </threadedComment>
  <threadedComment ref="N43" dT="2021-01-29T21:54:00.86" personId="{A548388A-FA31-47E9-B305-54379AD345FE}" id="{37BC91B5-945D-4267-9813-C72099A3CB3E}">
    <text>Plugged to Cash Flow change as PPP loan impacts not shown here.</text>
  </threadedComment>
</ThreadedComments>
</file>

<file path=xl/threadedComments/threadedComment4.xml><?xml version="1.0" encoding="utf-8"?>
<ThreadedComments xmlns="http://schemas.microsoft.com/office/spreadsheetml/2018/threadedcomments" xmlns:x="http://schemas.openxmlformats.org/spreadsheetml/2006/main">
  <threadedComment ref="P9" dT="2023-02-14T16:49:44.48" personId="{A548388A-FA31-47E9-B305-54379AD345FE}" id="{A168C9E3-6A3F-45A6-90A5-5629F1DC7421}">
    <text xml:space="preserve">This line item is an estimate
</text>
  </threadedComment>
  <threadedComment ref="Q9" dT="2023-02-14T16:49:44.48" personId="{A548388A-FA31-47E9-B305-54379AD345FE}" id="{8609790A-1FD4-4702-8AD7-E2A8F93B5C6B}">
    <text>This line item is an estimate. Based on increase in expenses versus increase in revenue.</text>
  </threadedComment>
  <threadedComment ref="P23" dT="2023-02-14T16:33:28.36" personId="{A548388A-FA31-47E9-B305-54379AD345FE}" id="{1D168A65-93D9-467D-A1C9-C04F7C4AC305}">
    <text xml:space="preserve">Plug to tie to EBITDA to board
</text>
  </threadedComment>
  <threadedComment ref="N26" dT="2019-12-21T21:43:05.35" personId="{A548388A-FA31-47E9-B305-54379AD345FE}" id="{5BEDA983-85BF-4E38-BB34-0344C9636C93}">
    <text>First year with revenue line</text>
  </threadedComment>
  <threadedComment ref="O36" dT="2022-01-14T20:05:32.88" personId="{A548388A-FA31-47E9-B305-54379AD345FE}" id="{80D8D612-9BB6-49A9-BED4-E2511C553A85}">
    <text>1801-000 WIP construction acct 2021</text>
  </threadedComment>
  <threadedComment ref="Q36" dT="2023-02-14T17:09:49.12" personId="{A548388A-FA31-47E9-B305-54379AD345FE}" id="{F0363A82-AE0F-499A-8BD7-8F2D3B8F1AF9}">
    <text xml:space="preserve">Pool renovations $74,784
Patio addition $60,000
Tennis Court resurface $24,770
</text>
  </threadedComment>
  <threadedComment ref="N39" dT="2021-02-03T16:46:25.67" personId="{A548388A-FA31-47E9-B305-54379AD345FE}" id="{1C0FAFC5-D828-451C-9247-53BD643F5281}">
    <text>This is post PPP loan distribution</text>
  </threadedComment>
  <threadedComment ref="N43" dT="2021-01-29T21:54:00.86" personId="{A548388A-FA31-47E9-B305-54379AD345FE}" id="{EDC59BA8-8CA0-4204-BEB7-0A0FC2A2C730}">
    <text>Plugged to Cash Flow change as PPP loan impacts not shown here.</text>
  </threadedComment>
  <threadedComment ref="AG46" dT="2023-04-20T17:08:08.17" personId="{A548388A-FA31-47E9-B305-54379AD345FE}" id="{B2C8141A-585B-41E7-AE2B-A5ABEF27981B}">
    <text xml:space="preserve">Formula change after operating loan paid
</text>
  </threadedComment>
</ThreadedComments>
</file>

<file path=xl/threadedComments/threadedComment5.xml><?xml version="1.0" encoding="utf-8"?>
<ThreadedComments xmlns="http://schemas.microsoft.com/office/spreadsheetml/2018/threadedcomments" xmlns:x="http://schemas.openxmlformats.org/spreadsheetml/2006/main">
  <threadedComment ref="P9" dT="2023-02-14T16:49:44.48" personId="{A548388A-FA31-47E9-B305-54379AD345FE}" id="{9EA6424E-47EC-4E15-8249-5ABF984DF1B2}">
    <text xml:space="preserve">This line item is an estimate
</text>
  </threadedComment>
  <threadedComment ref="Q9" dT="2023-02-14T16:49:44.48" personId="{A548388A-FA31-47E9-B305-54379AD345FE}" id="{4388D8DA-C5C3-45E3-9472-6315149E6D95}">
    <text>This line item is an estimate. Based on increase in expenses versus increase in revenue.</text>
  </threadedComment>
  <threadedComment ref="P23" dT="2023-02-14T16:33:28.36" personId="{A548388A-FA31-47E9-B305-54379AD345FE}" id="{3AC3B2E4-F949-4AD2-985A-66611ED80BF2}">
    <text xml:space="preserve">Plug to tie to EBITDA to board
</text>
  </threadedComment>
  <threadedComment ref="Q23" dT="2023-02-14T16:33:28.36" personId="{A548388A-FA31-47E9-B305-54379AD345FE}" id="{25078988-58AC-4734-9C53-A0AE3BCF36F1}">
    <text xml:space="preserve">Plug to tie to EBITDA to board
</text>
  </threadedComment>
  <threadedComment ref="N26" dT="2019-12-21T21:43:05.35" personId="{A548388A-FA31-47E9-B305-54379AD345FE}" id="{343A7658-7B9F-4AD1-9DDA-074448BBDDE2}">
    <text>First year with revenue line</text>
  </threadedComment>
  <threadedComment ref="O36" dT="2022-01-14T20:05:32.88" personId="{A548388A-FA31-47E9-B305-54379AD345FE}" id="{0C1857E3-C5B6-4C8A-92CD-24D96C22963F}">
    <text>1801-000 WIP construction acct 2021</text>
  </threadedComment>
  <threadedComment ref="Q36" dT="2023-02-14T17:09:49.12" personId="{A548388A-FA31-47E9-B305-54379AD345FE}" id="{E6355F44-D041-4835-893C-D121ACA8954A}">
    <text xml:space="preserve">Pool renovations $74.8
Patio addition $53.2
Tennis Court resurface $25.3
Concrete Renovate-GolfCourse $60.0
Furniture - $16.7
North Fountain - $7.0
</text>
  </threadedComment>
  <threadedComment ref="N39" dT="2021-02-03T16:46:25.67" personId="{A548388A-FA31-47E9-B305-54379AD345FE}" id="{70745EF5-5E5E-4EC6-82CC-DCDCFD625131}">
    <text>This is post PPP loan distribution</text>
  </threadedComment>
  <threadedComment ref="N43" dT="2021-01-29T21:54:00.86" personId="{A548388A-FA31-47E9-B305-54379AD345FE}" id="{A1370C36-C6AD-4BDC-AC1B-8C6A2A936D3F}">
    <text>Plugged to Cash Flow change as PPP loan impacts not shown here.</text>
  </threadedComment>
  <threadedComment ref="AG46" dT="2023-04-20T17:08:08.17" personId="{A548388A-FA31-47E9-B305-54379AD345FE}" id="{16C86227-6839-412E-AE7F-FFD6E77FF244}">
    <text xml:space="preserve">Formula change after operating loan paid
</text>
  </threadedComment>
</ThreadedComments>
</file>

<file path=xl/threadedComments/threadedComment6.xml><?xml version="1.0" encoding="utf-8"?>
<ThreadedComments xmlns="http://schemas.microsoft.com/office/spreadsheetml/2018/threadedcomments" xmlns:x="http://schemas.openxmlformats.org/spreadsheetml/2006/main">
  <threadedComment ref="P9" dT="2023-02-14T16:49:44.48" personId="{A548388A-FA31-47E9-B305-54379AD345FE}" id="{42BC883F-3F92-4A51-99F7-EB8630FC72A3}">
    <text xml:space="preserve">This line item is an estimate
</text>
  </threadedComment>
  <threadedComment ref="Q9" dT="2023-02-14T16:49:44.48" personId="{A548388A-FA31-47E9-B305-54379AD345FE}" id="{A9088A27-46E0-4D92-9E22-53C8A55353C6}">
    <text>This line item is an estimate. Based on increase in expenses versus increase in revenue.</text>
  </threadedComment>
  <threadedComment ref="P23" dT="2023-02-14T16:33:28.36" personId="{A548388A-FA31-47E9-B305-54379AD345FE}" id="{0F5BEDF9-9DD5-464A-B1DC-12B9EFA102A7}">
    <text xml:space="preserve">Plug to tie to EBITDA to board
</text>
  </threadedComment>
  <threadedComment ref="Q23" dT="2023-02-14T16:33:28.36" personId="{A548388A-FA31-47E9-B305-54379AD345FE}" id="{8ACEF712-3BA4-46DE-A089-7616155DA38B}">
    <text xml:space="preserve">Plug to tie to EBITDA to board
</text>
  </threadedComment>
  <threadedComment ref="N26" dT="2019-12-21T21:43:05.35" personId="{A548388A-FA31-47E9-B305-54379AD345FE}" id="{6E88DFCA-A2C6-4D7D-B5D8-B374996F4236}">
    <text>First year with revenue line</text>
  </threadedComment>
  <threadedComment ref="O36" dT="2022-01-14T20:05:32.88" personId="{A548388A-FA31-47E9-B305-54379AD345FE}" id="{7A85430E-2E6F-41BE-BD4E-EB63E4AC9051}">
    <text>1801-000 WIP construction acct 2021</text>
  </threadedComment>
  <threadedComment ref="Q36" dT="2023-02-14T17:09:49.12" personId="{A548388A-FA31-47E9-B305-54379AD345FE}" id="{BECEB65F-B215-44EB-98E4-59B776917A58}">
    <text xml:space="preserve">Pool renovations $74.8
Patio addition $53.2
Tennis Court resurface $25.3
Concrete Renovate-GolfCourse $60.0
Furniture - $16.7
North Fountain - $7.0
</text>
  </threadedComment>
  <threadedComment ref="N39" dT="2021-02-03T16:46:25.67" personId="{A548388A-FA31-47E9-B305-54379AD345FE}" id="{102D8E29-88F9-430D-A8B1-9A8E76095356}">
    <text>This is post PPP loan distribution</text>
  </threadedComment>
  <threadedComment ref="N43" dT="2021-01-29T21:54:00.86" personId="{A548388A-FA31-47E9-B305-54379AD345FE}" id="{B6F1F412-36BB-4687-A938-5E1D24A0935D}">
    <text>Plugged to Cash Flow change as PPP loan impacts not shown here.</text>
  </threadedComment>
  <threadedComment ref="AG46" dT="2023-04-20T17:08:08.17" personId="{A548388A-FA31-47E9-B305-54379AD345FE}" id="{898CE87D-D874-454A-AD93-FA3FFFF0B332}">
    <text xml:space="preserve">Formula change after operating loan paid
</text>
  </threadedComment>
  <threadedComment ref="AH46" dT="2023-04-20T17:08:08.17" personId="{A548388A-FA31-47E9-B305-54379AD345FE}" id="{94B1500F-3663-4E65-9B53-B2EDB4D8D0A5}">
    <text xml:space="preserve">Formula change after operating loan paid
</text>
  </threadedComment>
  <threadedComment ref="AF47" dT="2023-04-20T17:08:08.17" personId="{A548388A-FA31-47E9-B305-54379AD345FE}" id="{F00ADB73-F32E-4BA0-ADD9-1513969A58D9}">
    <text xml:space="preserve">Formula change after operating loan paid
</text>
  </threadedComment>
  <threadedComment ref="AG47" dT="2023-04-20T17:08:08.17" personId="{A548388A-FA31-47E9-B305-54379AD345FE}" id="{A17042D8-FF08-4A34-A7E9-C325B103FE70}">
    <text xml:space="preserve">Formula change after operating loan paid
</text>
  </threadedComment>
  <threadedComment ref="AH47" dT="2023-04-20T17:08:08.17" personId="{A548388A-FA31-47E9-B305-54379AD345FE}" id="{32EC0080-754B-4A9E-802B-89099E0BB567}">
    <text xml:space="preserve">Formula change after operating loan paid
</text>
  </threadedComment>
</ThreadedComments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4" Type="http://schemas.openxmlformats.org/officeDocument/2006/relationships/comments" Target="../comments1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4" Type="http://schemas.openxmlformats.org/officeDocument/2006/relationships/comments" Target="../comments2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3.xm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microsoft.com/office/2017/10/relationships/threadedComment" Target="../threadedComments/threadedComment2.xml"/><Relationship Id="rId4" Type="http://schemas.openxmlformats.org/officeDocument/2006/relationships/comments" Target="../comments4.xml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microsoft.com/office/2017/10/relationships/threadedComment" Target="../threadedComments/threadedComment3.xml"/><Relationship Id="rId4" Type="http://schemas.openxmlformats.org/officeDocument/2006/relationships/comments" Target="../comments5.xml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microsoft.com/office/2017/10/relationships/threadedComment" Target="../threadedComments/threadedComment4.xml"/><Relationship Id="rId4" Type="http://schemas.openxmlformats.org/officeDocument/2006/relationships/comments" Target="../comments6.xml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microsoft.com/office/2017/10/relationships/threadedComment" Target="../threadedComments/threadedComment5.xml"/><Relationship Id="rId4" Type="http://schemas.openxmlformats.org/officeDocument/2006/relationships/comments" Target="../comments7.xml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comments" Target="../comments8.xml"/><Relationship Id="rId2" Type="http://schemas.openxmlformats.org/officeDocument/2006/relationships/vmlDrawing" Target="../drawings/vmlDrawing8.vml"/><Relationship Id="rId1" Type="http://schemas.openxmlformats.org/officeDocument/2006/relationships/drawing" Target="../drawings/drawing16.xml"/><Relationship Id="rId4" Type="http://schemas.microsoft.com/office/2017/10/relationships/threadedComment" Target="../threadedComments/threadedComment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76"/>
  <sheetViews>
    <sheetView workbookViewId="0">
      <selection activeCell="A39" sqref="A39"/>
    </sheetView>
  </sheetViews>
  <sheetFormatPr defaultRowHeight="15" x14ac:dyDescent="0.25"/>
  <cols>
    <col min="1" max="1" width="24.5703125" customWidth="1"/>
    <col min="2" max="2" width="11.140625" customWidth="1"/>
    <col min="3" max="4" width="9.5703125" bestFit="1" customWidth="1"/>
    <col min="5" max="5" width="10.5703125" customWidth="1"/>
    <col min="6" max="12" width="9.42578125" bestFit="1" customWidth="1"/>
    <col min="13" max="24" width="9.5703125" bestFit="1" customWidth="1"/>
  </cols>
  <sheetData>
    <row r="1" spans="1:25" ht="25.7" x14ac:dyDescent="0.5">
      <c r="A1" s="19" t="s">
        <v>22</v>
      </c>
    </row>
    <row r="2" spans="1:25" ht="18" x14ac:dyDescent="0.35">
      <c r="A2" s="20" t="s">
        <v>29</v>
      </c>
    </row>
    <row r="3" spans="1:25" ht="14.45" x14ac:dyDescent="0.3">
      <c r="A3" t="s">
        <v>28</v>
      </c>
      <c r="C3" s="14" t="s">
        <v>33</v>
      </c>
      <c r="D3" s="27">
        <v>2010</v>
      </c>
      <c r="E3" s="14">
        <f t="shared" ref="E3:V3" si="0">+D3+1</f>
        <v>2011</v>
      </c>
      <c r="F3" s="14">
        <f t="shared" si="0"/>
        <v>2012</v>
      </c>
      <c r="G3" s="14">
        <f t="shared" si="0"/>
        <v>2013</v>
      </c>
      <c r="H3" s="14">
        <f t="shared" si="0"/>
        <v>2014</v>
      </c>
      <c r="I3" s="14">
        <f t="shared" si="0"/>
        <v>2015</v>
      </c>
      <c r="J3" s="14">
        <f t="shared" si="0"/>
        <v>2016</v>
      </c>
      <c r="K3" s="14">
        <f t="shared" si="0"/>
        <v>2017</v>
      </c>
      <c r="L3" s="14">
        <f t="shared" si="0"/>
        <v>2018</v>
      </c>
      <c r="M3" s="14">
        <f t="shared" si="0"/>
        <v>2019</v>
      </c>
      <c r="N3" s="14">
        <f t="shared" si="0"/>
        <v>2020</v>
      </c>
      <c r="O3" s="14">
        <f t="shared" si="0"/>
        <v>2021</v>
      </c>
      <c r="P3" s="14">
        <f t="shared" si="0"/>
        <v>2022</v>
      </c>
      <c r="Q3" s="14">
        <f t="shared" si="0"/>
        <v>2023</v>
      </c>
      <c r="R3" s="14">
        <f t="shared" si="0"/>
        <v>2024</v>
      </c>
      <c r="S3" s="14">
        <f t="shared" si="0"/>
        <v>2025</v>
      </c>
      <c r="T3" s="14">
        <f t="shared" si="0"/>
        <v>2026</v>
      </c>
      <c r="U3" s="14">
        <f t="shared" si="0"/>
        <v>2027</v>
      </c>
      <c r="V3" s="14">
        <f t="shared" si="0"/>
        <v>2028</v>
      </c>
      <c r="W3" s="14">
        <f>+V3+1</f>
        <v>2029</v>
      </c>
      <c r="X3" s="14">
        <f>+W3+1</f>
        <v>2030</v>
      </c>
    </row>
    <row r="4" spans="1:25" ht="14.45" x14ac:dyDescent="0.3">
      <c r="D4" s="21"/>
    </row>
    <row r="5" spans="1:25" ht="14.45" x14ac:dyDescent="0.3">
      <c r="A5" s="1" t="s">
        <v>0</v>
      </c>
      <c r="C5">
        <v>335</v>
      </c>
      <c r="D5" s="21">
        <f>+C5+D6</f>
        <v>375</v>
      </c>
      <c r="E5">
        <f t="shared" ref="E5:X5" si="1">+D5+E6</f>
        <v>415</v>
      </c>
      <c r="F5">
        <f t="shared" si="1"/>
        <v>465</v>
      </c>
      <c r="G5">
        <f t="shared" si="1"/>
        <v>525</v>
      </c>
      <c r="H5">
        <f t="shared" si="1"/>
        <v>595</v>
      </c>
      <c r="I5">
        <f t="shared" si="1"/>
        <v>665</v>
      </c>
      <c r="J5">
        <f t="shared" si="1"/>
        <v>735</v>
      </c>
      <c r="K5">
        <f t="shared" si="1"/>
        <v>805</v>
      </c>
      <c r="L5">
        <f t="shared" si="1"/>
        <v>875</v>
      </c>
      <c r="M5">
        <f t="shared" si="1"/>
        <v>935</v>
      </c>
      <c r="N5">
        <f t="shared" si="1"/>
        <v>995</v>
      </c>
      <c r="O5">
        <f t="shared" si="1"/>
        <v>1055</v>
      </c>
      <c r="P5">
        <f t="shared" si="1"/>
        <v>1115</v>
      </c>
      <c r="Q5">
        <f t="shared" si="1"/>
        <v>1175</v>
      </c>
      <c r="R5">
        <f t="shared" si="1"/>
        <v>1225</v>
      </c>
      <c r="S5">
        <f t="shared" si="1"/>
        <v>1275</v>
      </c>
      <c r="T5">
        <f t="shared" si="1"/>
        <v>1325</v>
      </c>
      <c r="U5">
        <f t="shared" si="1"/>
        <v>1355</v>
      </c>
      <c r="V5">
        <f t="shared" si="1"/>
        <v>1380</v>
      </c>
      <c r="W5">
        <f t="shared" si="1"/>
        <v>1380</v>
      </c>
      <c r="X5">
        <f t="shared" si="1"/>
        <v>1380</v>
      </c>
    </row>
    <row r="6" spans="1:25" ht="14.45" x14ac:dyDescent="0.3">
      <c r="A6" s="1" t="s">
        <v>1</v>
      </c>
      <c r="D6" s="28">
        <v>40</v>
      </c>
      <c r="E6" s="3">
        <v>40</v>
      </c>
      <c r="F6" s="3">
        <v>50</v>
      </c>
      <c r="G6" s="3">
        <v>60</v>
      </c>
      <c r="H6" s="3">
        <v>70</v>
      </c>
      <c r="I6" s="3">
        <v>70</v>
      </c>
      <c r="J6" s="3">
        <v>70</v>
      </c>
      <c r="K6" s="3">
        <v>70</v>
      </c>
      <c r="L6" s="3">
        <v>70</v>
      </c>
      <c r="M6" s="3">
        <v>60</v>
      </c>
      <c r="N6" s="3">
        <v>60</v>
      </c>
      <c r="O6" s="3">
        <v>60</v>
      </c>
      <c r="P6" s="3">
        <v>60</v>
      </c>
      <c r="Q6" s="3">
        <v>60</v>
      </c>
      <c r="R6" s="3">
        <v>50</v>
      </c>
      <c r="S6" s="3">
        <v>50</v>
      </c>
      <c r="T6" s="3">
        <v>50</v>
      </c>
      <c r="U6" s="3">
        <v>30</v>
      </c>
      <c r="V6" s="3">
        <v>25</v>
      </c>
      <c r="W6" s="3">
        <v>0</v>
      </c>
      <c r="X6" s="3">
        <v>0</v>
      </c>
      <c r="Y6" s="2"/>
    </row>
    <row r="7" spans="1:25" ht="14.45" x14ac:dyDescent="0.3">
      <c r="A7" t="s">
        <v>32</v>
      </c>
      <c r="D7" s="32">
        <f>+D8/C8-1</f>
        <v>9.8654708520179435E-2</v>
      </c>
      <c r="E7" s="25">
        <v>0</v>
      </c>
      <c r="F7" s="25">
        <v>0.05</v>
      </c>
      <c r="G7" s="26">
        <f>+F7</f>
        <v>0.05</v>
      </c>
      <c r="H7" s="26">
        <f t="shared" ref="H7:X7" si="2">+G7</f>
        <v>0.05</v>
      </c>
      <c r="I7" s="26">
        <f t="shared" si="2"/>
        <v>0.05</v>
      </c>
      <c r="J7" s="26">
        <f t="shared" si="2"/>
        <v>0.05</v>
      </c>
      <c r="K7" s="26">
        <f t="shared" si="2"/>
        <v>0.05</v>
      </c>
      <c r="L7" s="26">
        <f t="shared" si="2"/>
        <v>0.05</v>
      </c>
      <c r="M7" s="26">
        <f t="shared" si="2"/>
        <v>0.05</v>
      </c>
      <c r="N7" s="26">
        <f t="shared" si="2"/>
        <v>0.05</v>
      </c>
      <c r="O7" s="26">
        <f t="shared" si="2"/>
        <v>0.05</v>
      </c>
      <c r="P7" s="26">
        <f t="shared" si="2"/>
        <v>0.05</v>
      </c>
      <c r="Q7" s="26">
        <f t="shared" si="2"/>
        <v>0.05</v>
      </c>
      <c r="R7" s="26">
        <f t="shared" si="2"/>
        <v>0.05</v>
      </c>
      <c r="S7" s="26">
        <f t="shared" si="2"/>
        <v>0.05</v>
      </c>
      <c r="T7" s="26">
        <f t="shared" si="2"/>
        <v>0.05</v>
      </c>
      <c r="U7" s="26">
        <f t="shared" si="2"/>
        <v>0.05</v>
      </c>
      <c r="V7" s="26">
        <f t="shared" si="2"/>
        <v>0.05</v>
      </c>
      <c r="W7" s="26">
        <f t="shared" si="2"/>
        <v>0.05</v>
      </c>
      <c r="X7" s="26">
        <f t="shared" si="2"/>
        <v>0.05</v>
      </c>
      <c r="Y7" s="2"/>
    </row>
    <row r="8" spans="1:25" ht="14.45" x14ac:dyDescent="0.3">
      <c r="A8" t="s">
        <v>3</v>
      </c>
      <c r="C8" s="3">
        <f>55.75*12</f>
        <v>669</v>
      </c>
      <c r="D8" s="28">
        <v>735</v>
      </c>
      <c r="E8" s="4">
        <f>+D8*(1+E7)</f>
        <v>735</v>
      </c>
      <c r="F8" s="4">
        <f t="shared" ref="F8:G8" si="3">+E8*(1+F7)</f>
        <v>771.75</v>
      </c>
      <c r="G8" s="4">
        <f t="shared" si="3"/>
        <v>810.33750000000009</v>
      </c>
      <c r="H8" s="4">
        <f t="shared" ref="H8" si="4">+G8*(1+H7)</f>
        <v>850.85437500000012</v>
      </c>
      <c r="I8" s="4">
        <f t="shared" ref="I8" si="5">+H8*(1+I7)</f>
        <v>893.39709375000018</v>
      </c>
      <c r="J8" s="4">
        <f t="shared" ref="J8" si="6">+I8*(1+J7)</f>
        <v>938.06694843750017</v>
      </c>
      <c r="K8" s="4">
        <f t="shared" ref="K8" si="7">+J8*(1+K7)</f>
        <v>984.97029585937526</v>
      </c>
      <c r="L8" s="4">
        <f t="shared" ref="L8" si="8">+K8*(1+L7)</f>
        <v>1034.218810652344</v>
      </c>
      <c r="M8" s="4">
        <f t="shared" ref="M8" si="9">+L8*(1+M7)</f>
        <v>1085.9297511849613</v>
      </c>
      <c r="N8" s="4">
        <f t="shared" ref="N8" si="10">+M8*(1+N7)</f>
        <v>1140.2262387442095</v>
      </c>
      <c r="O8" s="4">
        <f t="shared" ref="O8" si="11">+N8*(1+O7)</f>
        <v>1197.2375506814201</v>
      </c>
      <c r="P8" s="4">
        <f t="shared" ref="P8" si="12">+O8*(1+P7)</f>
        <v>1257.0994282154911</v>
      </c>
      <c r="Q8" s="4">
        <f t="shared" ref="Q8" si="13">+P8*(1+Q7)</f>
        <v>1319.9543996262657</v>
      </c>
      <c r="R8" s="4">
        <f t="shared" ref="R8" si="14">+Q8*(1+R7)</f>
        <v>1385.9521196075791</v>
      </c>
      <c r="S8" s="4">
        <f t="shared" ref="S8" si="15">+R8*(1+S7)</f>
        <v>1455.2497255879582</v>
      </c>
      <c r="T8" s="4">
        <f t="shared" ref="T8" si="16">+S8*(1+T7)</f>
        <v>1528.0122118673562</v>
      </c>
      <c r="U8" s="4">
        <f t="shared" ref="U8" si="17">+T8*(1+U7)</f>
        <v>1604.4128224607241</v>
      </c>
      <c r="V8" s="4">
        <f t="shared" ref="V8" si="18">+U8*(1+V7)</f>
        <v>1684.6334635837604</v>
      </c>
      <c r="W8" s="4">
        <f t="shared" ref="W8" si="19">+V8*(1+W7)</f>
        <v>1768.8651367629486</v>
      </c>
      <c r="X8" s="4">
        <f t="shared" ref="X8" si="20">+W8*(1+X7)</f>
        <v>1857.3083936010962</v>
      </c>
    </row>
    <row r="9" spans="1:25" ht="14.45" x14ac:dyDescent="0.3">
      <c r="A9" t="s">
        <v>4</v>
      </c>
      <c r="D9" s="21"/>
      <c r="E9" s="5">
        <v>3.5000000000000003E-2</v>
      </c>
      <c r="F9" s="17">
        <f>+E9</f>
        <v>3.5000000000000003E-2</v>
      </c>
      <c r="G9" s="17">
        <f t="shared" ref="G9:X9" si="21">+F9</f>
        <v>3.5000000000000003E-2</v>
      </c>
      <c r="H9" s="17">
        <f t="shared" si="21"/>
        <v>3.5000000000000003E-2</v>
      </c>
      <c r="I9" s="17">
        <f t="shared" si="21"/>
        <v>3.5000000000000003E-2</v>
      </c>
      <c r="J9" s="17">
        <f t="shared" si="21"/>
        <v>3.5000000000000003E-2</v>
      </c>
      <c r="K9" s="17">
        <f t="shared" si="21"/>
        <v>3.5000000000000003E-2</v>
      </c>
      <c r="L9" s="17">
        <f t="shared" si="21"/>
        <v>3.5000000000000003E-2</v>
      </c>
      <c r="M9" s="17">
        <f t="shared" si="21"/>
        <v>3.5000000000000003E-2</v>
      </c>
      <c r="N9" s="17">
        <f t="shared" si="21"/>
        <v>3.5000000000000003E-2</v>
      </c>
      <c r="O9" s="17">
        <f t="shared" si="21"/>
        <v>3.5000000000000003E-2</v>
      </c>
      <c r="P9" s="17">
        <f t="shared" si="21"/>
        <v>3.5000000000000003E-2</v>
      </c>
      <c r="Q9" s="17">
        <f t="shared" si="21"/>
        <v>3.5000000000000003E-2</v>
      </c>
      <c r="R9" s="17">
        <f t="shared" si="21"/>
        <v>3.5000000000000003E-2</v>
      </c>
      <c r="S9" s="17">
        <f t="shared" si="21"/>
        <v>3.5000000000000003E-2</v>
      </c>
      <c r="T9" s="17">
        <f t="shared" si="21"/>
        <v>3.5000000000000003E-2</v>
      </c>
      <c r="U9" s="17">
        <f t="shared" si="21"/>
        <v>3.5000000000000003E-2</v>
      </c>
      <c r="V9" s="17">
        <f t="shared" si="21"/>
        <v>3.5000000000000003E-2</v>
      </c>
      <c r="W9" s="17">
        <f t="shared" si="21"/>
        <v>3.5000000000000003E-2</v>
      </c>
      <c r="X9" s="17">
        <f t="shared" si="21"/>
        <v>3.5000000000000003E-2</v>
      </c>
    </row>
    <row r="10" spans="1:25" ht="14.45" x14ac:dyDescent="0.3">
      <c r="A10" t="s">
        <v>24</v>
      </c>
      <c r="D10" s="21"/>
      <c r="E10" s="16">
        <v>85</v>
      </c>
      <c r="F10" s="16">
        <v>85</v>
      </c>
      <c r="G10" s="16">
        <v>85</v>
      </c>
      <c r="H10" s="16">
        <v>85</v>
      </c>
      <c r="I10" s="16">
        <v>85</v>
      </c>
      <c r="J10" s="16">
        <v>85</v>
      </c>
      <c r="K10" s="16">
        <v>85</v>
      </c>
      <c r="L10" s="16">
        <v>85</v>
      </c>
      <c r="M10" s="16">
        <v>0</v>
      </c>
      <c r="N10" s="16">
        <v>0</v>
      </c>
      <c r="O10" s="16">
        <v>0</v>
      </c>
      <c r="P10" s="16">
        <v>0</v>
      </c>
      <c r="Q10" s="16">
        <v>0</v>
      </c>
      <c r="R10" s="16">
        <v>0</v>
      </c>
      <c r="S10" s="16">
        <v>0</v>
      </c>
      <c r="T10" s="16">
        <v>0</v>
      </c>
      <c r="U10" s="16">
        <v>0</v>
      </c>
      <c r="V10" s="16">
        <v>0</v>
      </c>
      <c r="W10" s="16">
        <v>0</v>
      </c>
      <c r="X10" s="16">
        <v>0</v>
      </c>
    </row>
    <row r="11" spans="1:25" x14ac:dyDescent="0.25">
      <c r="A11" t="s">
        <v>25</v>
      </c>
      <c r="D11" s="21"/>
      <c r="E11" s="18">
        <v>4.7500000000000001E-2</v>
      </c>
      <c r="F11" s="18">
        <v>5.2499999999999998E-2</v>
      </c>
      <c r="G11" s="18">
        <v>0.06</v>
      </c>
      <c r="H11" s="18">
        <v>0.06</v>
      </c>
      <c r="I11" s="18">
        <v>0.06</v>
      </c>
      <c r="J11" s="18">
        <v>0.06</v>
      </c>
      <c r="K11" s="18">
        <v>0.06</v>
      </c>
      <c r="L11" s="18">
        <v>0.06</v>
      </c>
      <c r="M11" s="18">
        <v>0.06</v>
      </c>
      <c r="N11" s="18">
        <v>0.06</v>
      </c>
      <c r="O11" s="18">
        <v>0.06</v>
      </c>
      <c r="P11" s="18">
        <v>0.06</v>
      </c>
      <c r="Q11" s="18">
        <v>0.06</v>
      </c>
      <c r="R11" s="18">
        <v>0.06</v>
      </c>
      <c r="S11" s="18">
        <v>0.06</v>
      </c>
      <c r="T11" s="18">
        <v>0.06</v>
      </c>
      <c r="U11" s="18">
        <v>0.06</v>
      </c>
      <c r="V11" s="18">
        <v>0.06</v>
      </c>
      <c r="W11" s="18">
        <v>0.06</v>
      </c>
      <c r="X11" s="18">
        <v>0.06</v>
      </c>
    </row>
    <row r="12" spans="1:25" x14ac:dyDescent="0.25">
      <c r="D12" s="21"/>
    </row>
    <row r="13" spans="1:25" x14ac:dyDescent="0.25">
      <c r="A13" s="7" t="s">
        <v>15</v>
      </c>
      <c r="D13" s="21"/>
    </row>
    <row r="14" spans="1:25" x14ac:dyDescent="0.25">
      <c r="A14" t="s">
        <v>2</v>
      </c>
      <c r="C14" s="3">
        <v>213</v>
      </c>
      <c r="D14" s="28">
        <v>263</v>
      </c>
      <c r="E14" s="4">
        <f>+(E5+D5)/2*E8/1000</f>
        <v>290.32499999999999</v>
      </c>
      <c r="F14" s="4">
        <f t="shared" ref="F14:X14" si="22">+(F5+E5)/2*F8/1000</f>
        <v>339.57</v>
      </c>
      <c r="G14" s="4">
        <f t="shared" si="22"/>
        <v>401.11706250000003</v>
      </c>
      <c r="H14" s="4">
        <f t="shared" si="22"/>
        <v>476.47845000000007</v>
      </c>
      <c r="I14" s="4">
        <f t="shared" si="22"/>
        <v>562.84016906250008</v>
      </c>
      <c r="J14" s="4">
        <f t="shared" si="22"/>
        <v>656.64686390625013</v>
      </c>
      <c r="K14" s="4">
        <f t="shared" si="22"/>
        <v>758.42712781171895</v>
      </c>
      <c r="L14" s="4">
        <f t="shared" si="22"/>
        <v>868.74380094796902</v>
      </c>
      <c r="M14" s="4">
        <f t="shared" si="22"/>
        <v>982.76642482238992</v>
      </c>
      <c r="N14" s="4">
        <f t="shared" si="22"/>
        <v>1100.318320388162</v>
      </c>
      <c r="O14" s="4">
        <f t="shared" si="22"/>
        <v>1227.1684894484556</v>
      </c>
      <c r="P14" s="4">
        <f t="shared" si="22"/>
        <v>1363.9528796138079</v>
      </c>
      <c r="Q14" s="4">
        <f t="shared" si="22"/>
        <v>1511.3477875720741</v>
      </c>
      <c r="R14" s="4">
        <f t="shared" si="22"/>
        <v>1663.1425435290948</v>
      </c>
      <c r="S14" s="4">
        <f t="shared" si="22"/>
        <v>1819.0621569849479</v>
      </c>
      <c r="T14" s="4">
        <f t="shared" si="22"/>
        <v>1986.4158754275629</v>
      </c>
      <c r="U14" s="4">
        <f t="shared" si="22"/>
        <v>2149.9131820973703</v>
      </c>
      <c r="V14" s="4">
        <f t="shared" si="22"/>
        <v>2303.736261450792</v>
      </c>
      <c r="W14" s="4">
        <f t="shared" si="22"/>
        <v>2441.0338887328694</v>
      </c>
      <c r="X14" s="4">
        <f t="shared" si="22"/>
        <v>2563.085583169513</v>
      </c>
    </row>
    <row r="15" spans="1:25" x14ac:dyDescent="0.25">
      <c r="A15" t="s">
        <v>5</v>
      </c>
      <c r="C15" s="3">
        <v>5</v>
      </c>
      <c r="D15" s="28">
        <v>5</v>
      </c>
      <c r="E15" s="4">
        <f>+D15*(1+E$9)</f>
        <v>5.1749999999999998</v>
      </c>
      <c r="F15" s="4">
        <f t="shared" ref="F15:X15" si="23">+E15*(1+F$9)</f>
        <v>5.3561249999999996</v>
      </c>
      <c r="G15" s="4">
        <f t="shared" si="23"/>
        <v>5.5435893749999989</v>
      </c>
      <c r="H15" s="4">
        <f t="shared" si="23"/>
        <v>5.7376150031249988</v>
      </c>
      <c r="I15" s="4">
        <f t="shared" si="23"/>
        <v>5.9384315282343731</v>
      </c>
      <c r="J15" s="4">
        <f t="shared" si="23"/>
        <v>6.1462766317225759</v>
      </c>
      <c r="K15" s="4">
        <f t="shared" si="23"/>
        <v>6.3613963138328655</v>
      </c>
      <c r="L15" s="4">
        <f t="shared" si="23"/>
        <v>6.5840451848170156</v>
      </c>
      <c r="M15" s="4">
        <f t="shared" si="23"/>
        <v>6.8144867662856106</v>
      </c>
      <c r="N15" s="4">
        <f t="shared" si="23"/>
        <v>7.0529938031056068</v>
      </c>
      <c r="O15" s="4">
        <f t="shared" si="23"/>
        <v>7.2998485862143028</v>
      </c>
      <c r="P15" s="4">
        <f t="shared" si="23"/>
        <v>7.5553432867318024</v>
      </c>
      <c r="Q15" s="4">
        <f t="shared" si="23"/>
        <v>7.8197803017674152</v>
      </c>
      <c r="R15" s="4">
        <f t="shared" si="23"/>
        <v>8.0934726123292737</v>
      </c>
      <c r="S15" s="4">
        <f t="shared" si="23"/>
        <v>8.3767441537607983</v>
      </c>
      <c r="T15" s="4">
        <f t="shared" si="23"/>
        <v>8.669930199142426</v>
      </c>
      <c r="U15" s="4">
        <f t="shared" si="23"/>
        <v>8.9733777561124111</v>
      </c>
      <c r="V15" s="4">
        <f t="shared" si="23"/>
        <v>9.2874459775763452</v>
      </c>
      <c r="W15" s="4">
        <f t="shared" si="23"/>
        <v>9.6125065867915165</v>
      </c>
      <c r="X15" s="4">
        <f t="shared" si="23"/>
        <v>9.948944317329218</v>
      </c>
    </row>
    <row r="16" spans="1:25" x14ac:dyDescent="0.25">
      <c r="A16" t="s">
        <v>6</v>
      </c>
      <c r="D16" s="22">
        <v>-4</v>
      </c>
      <c r="E16" s="4">
        <f>-0.015*E14</f>
        <v>-4.3548749999999998</v>
      </c>
      <c r="F16" s="4">
        <f t="shared" ref="F16:X16" si="24">-0.015*F14</f>
        <v>-5.0935499999999996</v>
      </c>
      <c r="G16" s="4">
        <f t="shared" si="24"/>
        <v>-6.0167559375000002</v>
      </c>
      <c r="H16" s="4">
        <f t="shared" si="24"/>
        <v>-7.1471767500000007</v>
      </c>
      <c r="I16" s="4">
        <f t="shared" si="24"/>
        <v>-8.4426025359375014</v>
      </c>
      <c r="J16" s="4">
        <f t="shared" si="24"/>
        <v>-9.8497029585937508</v>
      </c>
      <c r="K16" s="4">
        <f t="shared" si="24"/>
        <v>-11.376406917175784</v>
      </c>
      <c r="L16" s="4">
        <f t="shared" si="24"/>
        <v>-13.031157014219534</v>
      </c>
      <c r="M16" s="4">
        <f t="shared" si="24"/>
        <v>-14.741496372335849</v>
      </c>
      <c r="N16" s="4">
        <f t="shared" si="24"/>
        <v>-16.504774805822429</v>
      </c>
      <c r="O16" s="4">
        <f t="shared" si="24"/>
        <v>-18.407527341726833</v>
      </c>
      <c r="P16" s="4">
        <f t="shared" si="24"/>
        <v>-20.459293194207117</v>
      </c>
      <c r="Q16" s="4">
        <f t="shared" si="24"/>
        <v>-22.67021681358111</v>
      </c>
      <c r="R16" s="4">
        <f t="shared" si="24"/>
        <v>-24.947138152936422</v>
      </c>
      <c r="S16" s="4">
        <f t="shared" si="24"/>
        <v>-27.285932354774218</v>
      </c>
      <c r="T16" s="4">
        <f t="shared" si="24"/>
        <v>-29.796238131413443</v>
      </c>
      <c r="U16" s="4">
        <f t="shared" si="24"/>
        <v>-32.248697731460553</v>
      </c>
      <c r="V16" s="4">
        <f t="shared" si="24"/>
        <v>-34.556043921761876</v>
      </c>
      <c r="W16" s="4">
        <f t="shared" si="24"/>
        <v>-36.615508330993038</v>
      </c>
      <c r="X16" s="4">
        <f t="shared" si="24"/>
        <v>-38.446283747542694</v>
      </c>
    </row>
    <row r="17" spans="1:24" x14ac:dyDescent="0.25">
      <c r="A17" t="s">
        <v>12</v>
      </c>
      <c r="C17" s="3">
        <v>546</v>
      </c>
      <c r="D17" s="28">
        <v>693</v>
      </c>
      <c r="E17" s="10">
        <f>+D17*(1+E9)+E10</f>
        <v>802.255</v>
      </c>
      <c r="F17" s="10">
        <f t="shared" ref="F17:X17" si="25">+E17*(1+F9)+F10</f>
        <v>915.33392499999991</v>
      </c>
      <c r="G17" s="10">
        <f t="shared" si="25"/>
        <v>1032.3706123749998</v>
      </c>
      <c r="H17" s="10">
        <f t="shared" si="25"/>
        <v>1153.5035838081249</v>
      </c>
      <c r="I17" s="10">
        <f t="shared" si="25"/>
        <v>1278.8762092414092</v>
      </c>
      <c r="J17" s="10">
        <f t="shared" si="25"/>
        <v>1408.6368765648585</v>
      </c>
      <c r="K17" s="10">
        <f t="shared" si="25"/>
        <v>1542.9391672446284</v>
      </c>
      <c r="L17" s="10">
        <f t="shared" si="25"/>
        <v>1681.9420380981903</v>
      </c>
      <c r="M17" s="10">
        <f t="shared" si="25"/>
        <v>1740.8100094316269</v>
      </c>
      <c r="N17" s="10">
        <f t="shared" si="25"/>
        <v>1801.7383597617336</v>
      </c>
      <c r="O17" s="10">
        <f t="shared" si="25"/>
        <v>1864.7992023533941</v>
      </c>
      <c r="P17" s="10">
        <f t="shared" si="25"/>
        <v>1930.0671744357628</v>
      </c>
      <c r="Q17" s="10">
        <f t="shared" si="25"/>
        <v>1997.6195255410144</v>
      </c>
      <c r="R17" s="10">
        <f t="shared" si="25"/>
        <v>2067.5362089349496</v>
      </c>
      <c r="S17" s="10">
        <f t="shared" si="25"/>
        <v>2139.8999762476728</v>
      </c>
      <c r="T17" s="10">
        <f t="shared" si="25"/>
        <v>2214.7964754163413</v>
      </c>
      <c r="U17" s="10">
        <f t="shared" si="25"/>
        <v>2292.3143520559129</v>
      </c>
      <c r="V17" s="10">
        <f t="shared" si="25"/>
        <v>2372.5453543778694</v>
      </c>
      <c r="W17" s="10">
        <f t="shared" si="25"/>
        <v>2455.5844417810945</v>
      </c>
      <c r="X17" s="10">
        <f t="shared" si="25"/>
        <v>2541.5298972434325</v>
      </c>
    </row>
    <row r="18" spans="1:24" x14ac:dyDescent="0.25">
      <c r="A18" s="6" t="s">
        <v>21</v>
      </c>
      <c r="C18" s="13">
        <f>SUM(C14:C17)</f>
        <v>764</v>
      </c>
      <c r="D18" s="29">
        <f t="shared" ref="D18:X18" si="26">SUM(D14:D17)</f>
        <v>957</v>
      </c>
      <c r="E18" s="13">
        <f t="shared" si="26"/>
        <v>1093.4001250000001</v>
      </c>
      <c r="F18" s="13">
        <f t="shared" si="26"/>
        <v>1255.1664999999998</v>
      </c>
      <c r="G18" s="13">
        <f t="shared" si="26"/>
        <v>1433.0145083124999</v>
      </c>
      <c r="H18" s="13">
        <f t="shared" si="26"/>
        <v>1628.5724720612498</v>
      </c>
      <c r="I18" s="13">
        <f t="shared" si="26"/>
        <v>1839.2122072962061</v>
      </c>
      <c r="J18" s="13">
        <f t="shared" si="26"/>
        <v>2061.5803141442375</v>
      </c>
      <c r="K18" s="13">
        <f t="shared" si="26"/>
        <v>2296.3512844530042</v>
      </c>
      <c r="L18" s="13">
        <f t="shared" si="26"/>
        <v>2544.2387272167571</v>
      </c>
      <c r="M18" s="13">
        <f t="shared" si="26"/>
        <v>2715.6494246479665</v>
      </c>
      <c r="N18" s="13">
        <f t="shared" si="26"/>
        <v>2892.6048991471789</v>
      </c>
      <c r="O18" s="13">
        <f t="shared" si="26"/>
        <v>3080.8600130463374</v>
      </c>
      <c r="P18" s="13">
        <f t="shared" si="26"/>
        <v>3281.1161041420955</v>
      </c>
      <c r="Q18" s="13">
        <f t="shared" si="26"/>
        <v>3494.1168766012747</v>
      </c>
      <c r="R18" s="13">
        <f t="shared" si="26"/>
        <v>3713.8250869234371</v>
      </c>
      <c r="S18" s="13">
        <f t="shared" si="26"/>
        <v>3940.0529450316076</v>
      </c>
      <c r="T18" s="13">
        <f t="shared" si="26"/>
        <v>4180.0860429116328</v>
      </c>
      <c r="U18" s="13">
        <f t="shared" si="26"/>
        <v>4418.9522141779344</v>
      </c>
      <c r="V18" s="13">
        <f t="shared" si="26"/>
        <v>4651.0130178844756</v>
      </c>
      <c r="W18" s="13">
        <f t="shared" si="26"/>
        <v>4869.6153287697616</v>
      </c>
      <c r="X18" s="13">
        <f t="shared" si="26"/>
        <v>5076.1181409827323</v>
      </c>
    </row>
    <row r="19" spans="1:24" x14ac:dyDescent="0.25">
      <c r="D19" s="21"/>
    </row>
    <row r="20" spans="1:24" x14ac:dyDescent="0.25">
      <c r="D20" s="21"/>
    </row>
    <row r="21" spans="1:24" x14ac:dyDescent="0.25">
      <c r="A21" s="7" t="s">
        <v>16</v>
      </c>
      <c r="D21" s="21"/>
    </row>
    <row r="22" spans="1:24" x14ac:dyDescent="0.25">
      <c r="A22" t="s">
        <v>7</v>
      </c>
      <c r="C22" s="8">
        <f>151+35+150+17+30+2+1</f>
        <v>386</v>
      </c>
      <c r="D22" s="30">
        <v>381</v>
      </c>
      <c r="E22" s="9">
        <f>+D22*(1+E$9)</f>
        <v>394.33499999999998</v>
      </c>
      <c r="F22" s="9">
        <f t="shared" ref="F22:X22" si="27">+E22*(1+F$9)</f>
        <v>408.13672499999996</v>
      </c>
      <c r="G22" s="9">
        <f t="shared" si="27"/>
        <v>422.42151037499991</v>
      </c>
      <c r="H22" s="9">
        <f t="shared" si="27"/>
        <v>437.20626323812485</v>
      </c>
      <c r="I22" s="9">
        <f t="shared" si="27"/>
        <v>452.5084824514592</v>
      </c>
      <c r="J22" s="9">
        <f t="shared" si="27"/>
        <v>468.34627933726023</v>
      </c>
      <c r="K22" s="9">
        <f t="shared" si="27"/>
        <v>484.73839911406429</v>
      </c>
      <c r="L22" s="9">
        <f t="shared" si="27"/>
        <v>501.7042430830565</v>
      </c>
      <c r="M22" s="9">
        <f t="shared" si="27"/>
        <v>519.26389159096345</v>
      </c>
      <c r="N22" s="9">
        <f t="shared" si="27"/>
        <v>537.43812779664711</v>
      </c>
      <c r="O22" s="9">
        <f t="shared" si="27"/>
        <v>556.24846226952968</v>
      </c>
      <c r="P22" s="9">
        <f t="shared" si="27"/>
        <v>575.71715844896323</v>
      </c>
      <c r="Q22" s="9">
        <f t="shared" si="27"/>
        <v>595.86725899467694</v>
      </c>
      <c r="R22" s="9">
        <f t="shared" si="27"/>
        <v>616.72261305949064</v>
      </c>
      <c r="S22" s="9">
        <f t="shared" si="27"/>
        <v>638.30790451657276</v>
      </c>
      <c r="T22" s="9">
        <f t="shared" si="27"/>
        <v>660.64868117465278</v>
      </c>
      <c r="U22" s="9">
        <f t="shared" si="27"/>
        <v>683.77138501576553</v>
      </c>
      <c r="V22" s="9">
        <f t="shared" si="27"/>
        <v>707.70338349131725</v>
      </c>
      <c r="W22" s="9">
        <f t="shared" si="27"/>
        <v>732.47300191351326</v>
      </c>
      <c r="X22" s="9">
        <f t="shared" si="27"/>
        <v>758.10955698048622</v>
      </c>
    </row>
    <row r="23" spans="1:24" x14ac:dyDescent="0.25">
      <c r="A23" t="s">
        <v>8</v>
      </c>
      <c r="C23" s="8">
        <f>816-87</f>
        <v>729</v>
      </c>
      <c r="D23" s="30">
        <f>832-87</f>
        <v>745</v>
      </c>
      <c r="E23" s="9">
        <f>+D23*(1+E$9)</f>
        <v>771.07499999999993</v>
      </c>
      <c r="F23" s="9">
        <f t="shared" ref="F23:X23" si="28">+E23*(1+F$9)</f>
        <v>798.06262499999991</v>
      </c>
      <c r="G23" s="9">
        <f t="shared" si="28"/>
        <v>825.99481687499986</v>
      </c>
      <c r="H23" s="9">
        <f t="shared" si="28"/>
        <v>854.90463546562478</v>
      </c>
      <c r="I23" s="9">
        <f t="shared" si="28"/>
        <v>884.82629770692154</v>
      </c>
      <c r="J23" s="9">
        <f t="shared" si="28"/>
        <v>915.79521812666371</v>
      </c>
      <c r="K23" s="9">
        <f t="shared" si="28"/>
        <v>947.84805076109683</v>
      </c>
      <c r="L23" s="9">
        <f t="shared" si="28"/>
        <v>981.02273253773512</v>
      </c>
      <c r="M23" s="9">
        <f t="shared" si="28"/>
        <v>1015.3585281765558</v>
      </c>
      <c r="N23" s="9">
        <f t="shared" si="28"/>
        <v>1050.8960766627351</v>
      </c>
      <c r="O23" s="9">
        <f t="shared" si="28"/>
        <v>1087.6774393459307</v>
      </c>
      <c r="P23" s="9">
        <f t="shared" si="28"/>
        <v>1125.7461497230381</v>
      </c>
      <c r="Q23" s="9">
        <f t="shared" si="28"/>
        <v>1165.1472649633445</v>
      </c>
      <c r="R23" s="9">
        <f t="shared" si="28"/>
        <v>1205.9274192370615</v>
      </c>
      <c r="S23" s="9">
        <f t="shared" si="28"/>
        <v>1248.1348789103586</v>
      </c>
      <c r="T23" s="9">
        <f t="shared" si="28"/>
        <v>1291.8195996722211</v>
      </c>
      <c r="U23" s="9">
        <f t="shared" si="28"/>
        <v>1337.0332856607488</v>
      </c>
      <c r="V23" s="9">
        <f t="shared" si="28"/>
        <v>1383.829450658875</v>
      </c>
      <c r="W23" s="9">
        <f t="shared" si="28"/>
        <v>1432.2634814319356</v>
      </c>
      <c r="X23" s="9">
        <f t="shared" si="28"/>
        <v>1482.3927032820532</v>
      </c>
    </row>
    <row r="24" spans="1:24" x14ac:dyDescent="0.25">
      <c r="A24" t="s">
        <v>30</v>
      </c>
      <c r="C24" s="8">
        <v>0</v>
      </c>
      <c r="D24" s="30">
        <v>0</v>
      </c>
      <c r="E24" s="9">
        <v>50</v>
      </c>
      <c r="F24" s="9">
        <f>+E24*(1+F9)</f>
        <v>51.749999999999993</v>
      </c>
      <c r="G24" s="9">
        <f t="shared" ref="G24:X24" si="29">+F24*(1+G9)</f>
        <v>53.561249999999987</v>
      </c>
      <c r="H24" s="9">
        <f t="shared" si="29"/>
        <v>55.435893749999984</v>
      </c>
      <c r="I24" s="9">
        <f t="shared" si="29"/>
        <v>57.376150031249978</v>
      </c>
      <c r="J24" s="9">
        <f t="shared" si="29"/>
        <v>59.384315282343721</v>
      </c>
      <c r="K24" s="9">
        <f t="shared" si="29"/>
        <v>61.462766317225743</v>
      </c>
      <c r="L24" s="9">
        <f t="shared" si="29"/>
        <v>63.613963138328636</v>
      </c>
      <c r="M24" s="9">
        <f t="shared" si="29"/>
        <v>65.840451848170133</v>
      </c>
      <c r="N24" s="9">
        <f t="shared" si="29"/>
        <v>68.144867662856086</v>
      </c>
      <c r="O24" s="9">
        <f t="shared" si="29"/>
        <v>70.529938031056048</v>
      </c>
      <c r="P24" s="9">
        <f t="shared" si="29"/>
        <v>72.998485862142999</v>
      </c>
      <c r="Q24" s="9">
        <f t="shared" si="29"/>
        <v>75.553432867317994</v>
      </c>
      <c r="R24" s="9">
        <f t="shared" si="29"/>
        <v>78.197803017674119</v>
      </c>
      <c r="S24" s="9">
        <f t="shared" si="29"/>
        <v>80.934726123292705</v>
      </c>
      <c r="T24" s="9">
        <f t="shared" si="29"/>
        <v>83.767441537607937</v>
      </c>
      <c r="U24" s="9">
        <f t="shared" si="29"/>
        <v>86.699301991424207</v>
      </c>
      <c r="V24" s="9">
        <f t="shared" si="29"/>
        <v>89.733777561124043</v>
      </c>
      <c r="W24" s="9">
        <f t="shared" si="29"/>
        <v>92.874459775763384</v>
      </c>
      <c r="X24" s="9">
        <f t="shared" si="29"/>
        <v>96.125065867915097</v>
      </c>
    </row>
    <row r="25" spans="1:24" x14ac:dyDescent="0.25">
      <c r="A25" t="s">
        <v>9</v>
      </c>
      <c r="C25" s="8">
        <v>95</v>
      </c>
      <c r="D25" s="30">
        <v>98</v>
      </c>
      <c r="E25" s="9">
        <f>+D25*(1+E$9)*1.02</f>
        <v>103.45859999999999</v>
      </c>
      <c r="F25" s="9">
        <f t="shared" ref="F25:X25" si="30">+E25*(1+F$9)*1.02</f>
        <v>109.22124401999999</v>
      </c>
      <c r="G25" s="9">
        <f t="shared" si="30"/>
        <v>115.30486731191398</v>
      </c>
      <c r="H25" s="9">
        <f t="shared" si="30"/>
        <v>121.72734842118759</v>
      </c>
      <c r="I25" s="9">
        <f t="shared" si="30"/>
        <v>128.50756172824774</v>
      </c>
      <c r="J25" s="9">
        <f t="shared" si="30"/>
        <v>135.66543291651112</v>
      </c>
      <c r="K25" s="9">
        <f t="shared" si="30"/>
        <v>143.22199752996079</v>
      </c>
      <c r="L25" s="9">
        <f t="shared" si="30"/>
        <v>151.19946279237959</v>
      </c>
      <c r="M25" s="9">
        <f t="shared" si="30"/>
        <v>159.62127286991512</v>
      </c>
      <c r="N25" s="9">
        <f t="shared" si="30"/>
        <v>168.51217776876936</v>
      </c>
      <c r="O25" s="9">
        <f t="shared" si="30"/>
        <v>177.89830607048981</v>
      </c>
      <c r="P25" s="9">
        <f t="shared" si="30"/>
        <v>187.8072417186161</v>
      </c>
      <c r="Q25" s="9">
        <f t="shared" si="30"/>
        <v>198.26810508234303</v>
      </c>
      <c r="R25" s="9">
        <f t="shared" si="30"/>
        <v>209.31163853542949</v>
      </c>
      <c r="S25" s="9">
        <f t="shared" si="30"/>
        <v>220.9702968018529</v>
      </c>
      <c r="T25" s="9">
        <f t="shared" si="30"/>
        <v>233.2783423337161</v>
      </c>
      <c r="U25" s="9">
        <f t="shared" si="30"/>
        <v>246.27194600170407</v>
      </c>
      <c r="V25" s="9">
        <f t="shared" si="30"/>
        <v>259.98929339399899</v>
      </c>
      <c r="W25" s="9">
        <f t="shared" si="30"/>
        <v>274.47069703604473</v>
      </c>
      <c r="X25" s="9">
        <f t="shared" si="30"/>
        <v>289.75871486095241</v>
      </c>
    </row>
    <row r="26" spans="1:24" x14ac:dyDescent="0.25">
      <c r="A26" t="s">
        <v>10</v>
      </c>
      <c r="C26" s="8">
        <f>13</f>
        <v>13</v>
      </c>
      <c r="D26" s="30">
        <f>17</f>
        <v>17</v>
      </c>
      <c r="E26" s="8">
        <v>15</v>
      </c>
      <c r="F26" s="8">
        <v>10</v>
      </c>
      <c r="G26" s="8">
        <v>5</v>
      </c>
      <c r="H26" s="8">
        <v>0</v>
      </c>
      <c r="I26" s="8">
        <v>0</v>
      </c>
      <c r="J26" s="8">
        <v>0</v>
      </c>
      <c r="K26" s="8">
        <v>0</v>
      </c>
      <c r="L26" s="8">
        <v>0</v>
      </c>
      <c r="M26" s="8">
        <v>0</v>
      </c>
      <c r="N26" s="8">
        <v>0</v>
      </c>
      <c r="O26" s="8">
        <v>0</v>
      </c>
      <c r="P26" s="8">
        <v>0</v>
      </c>
      <c r="Q26" s="8">
        <v>0</v>
      </c>
      <c r="R26" s="8">
        <v>0</v>
      </c>
      <c r="S26" s="8">
        <v>0</v>
      </c>
      <c r="T26" s="8">
        <v>0</v>
      </c>
      <c r="U26" s="8">
        <v>0</v>
      </c>
      <c r="V26" s="8">
        <v>0</v>
      </c>
      <c r="W26" s="8">
        <v>0</v>
      </c>
      <c r="X26" s="8">
        <v>0</v>
      </c>
    </row>
    <row r="27" spans="1:24" x14ac:dyDescent="0.25">
      <c r="A27" t="s">
        <v>11</v>
      </c>
      <c r="C27" s="8">
        <f>17-6</f>
        <v>11</v>
      </c>
      <c r="D27" s="30">
        <f>20-6</f>
        <v>14</v>
      </c>
      <c r="E27" s="9">
        <f>+D27*(1+E$9)</f>
        <v>14.489999999999998</v>
      </c>
      <c r="F27" s="9">
        <f t="shared" ref="F27:X29" si="31">+E27*(1+F$9)</f>
        <v>14.997149999999998</v>
      </c>
      <c r="G27" s="9">
        <f t="shared" si="31"/>
        <v>15.522050249999996</v>
      </c>
      <c r="H27" s="9">
        <f t="shared" si="31"/>
        <v>16.065322008749995</v>
      </c>
      <c r="I27" s="9">
        <f t="shared" si="31"/>
        <v>16.627608279056243</v>
      </c>
      <c r="J27" s="9">
        <f t="shared" si="31"/>
        <v>17.209574568823211</v>
      </c>
      <c r="K27" s="9">
        <f t="shared" si="31"/>
        <v>17.811909678732022</v>
      </c>
      <c r="L27" s="9">
        <f t="shared" si="31"/>
        <v>18.435326517487642</v>
      </c>
      <c r="M27" s="9">
        <f t="shared" si="31"/>
        <v>19.080562945599709</v>
      </c>
      <c r="N27" s="9">
        <f t="shared" si="31"/>
        <v>19.748382648695699</v>
      </c>
      <c r="O27" s="9">
        <f t="shared" si="31"/>
        <v>20.439576041400048</v>
      </c>
      <c r="P27" s="9">
        <f t="shared" si="31"/>
        <v>21.154961202849048</v>
      </c>
      <c r="Q27" s="9">
        <f t="shared" si="31"/>
        <v>21.895384844948762</v>
      </c>
      <c r="R27" s="9">
        <f t="shared" si="31"/>
        <v>22.661723314521968</v>
      </c>
      <c r="S27" s="9">
        <f t="shared" si="31"/>
        <v>23.454883630530237</v>
      </c>
      <c r="T27" s="9">
        <f t="shared" si="31"/>
        <v>24.275804557598793</v>
      </c>
      <c r="U27" s="9">
        <f t="shared" si="31"/>
        <v>25.125457717114749</v>
      </c>
      <c r="V27" s="9">
        <f t="shared" si="31"/>
        <v>26.004848737213763</v>
      </c>
      <c r="W27" s="9">
        <f t="shared" si="31"/>
        <v>26.915018443016244</v>
      </c>
      <c r="X27" s="9">
        <f t="shared" si="31"/>
        <v>27.85704408852181</v>
      </c>
    </row>
    <row r="28" spans="1:24" x14ac:dyDescent="0.25">
      <c r="A28" t="s">
        <v>13</v>
      </c>
      <c r="C28" s="8">
        <v>31</v>
      </c>
      <c r="D28" s="30">
        <v>29</v>
      </c>
      <c r="E28" s="9">
        <f t="shared" ref="E28:T29" si="32">+D28*(1+E$9)</f>
        <v>30.014999999999997</v>
      </c>
      <c r="F28" s="9">
        <f t="shared" si="32"/>
        <v>31.065524999999994</v>
      </c>
      <c r="G28" s="9">
        <f t="shared" si="32"/>
        <v>32.152818374999988</v>
      </c>
      <c r="H28" s="9">
        <f t="shared" si="32"/>
        <v>33.278167018124982</v>
      </c>
      <c r="I28" s="9">
        <f t="shared" si="32"/>
        <v>34.442902863759358</v>
      </c>
      <c r="J28" s="9">
        <f t="shared" si="32"/>
        <v>35.648404463990936</v>
      </c>
      <c r="K28" s="9">
        <f t="shared" si="32"/>
        <v>36.896098620230617</v>
      </c>
      <c r="L28" s="9">
        <f t="shared" si="32"/>
        <v>38.187462071938683</v>
      </c>
      <c r="M28" s="9">
        <f t="shared" si="32"/>
        <v>39.524023244456536</v>
      </c>
      <c r="N28" s="9">
        <f t="shared" si="32"/>
        <v>40.907364058012512</v>
      </c>
      <c r="O28" s="9">
        <f t="shared" si="32"/>
        <v>42.339121800042946</v>
      </c>
      <c r="P28" s="9">
        <f t="shared" si="32"/>
        <v>43.820991063044445</v>
      </c>
      <c r="Q28" s="9">
        <f t="shared" si="32"/>
        <v>45.354725750250999</v>
      </c>
      <c r="R28" s="9">
        <f t="shared" si="32"/>
        <v>46.94214115150978</v>
      </c>
      <c r="S28" s="9">
        <f t="shared" si="32"/>
        <v>48.585116091812615</v>
      </c>
      <c r="T28" s="9">
        <f t="shared" si="32"/>
        <v>50.285595155026051</v>
      </c>
      <c r="U28" s="9">
        <f t="shared" si="31"/>
        <v>52.045590985451959</v>
      </c>
      <c r="V28" s="9">
        <f t="shared" si="31"/>
        <v>53.867186669942775</v>
      </c>
      <c r="W28" s="9">
        <f t="shared" si="31"/>
        <v>55.75253820339077</v>
      </c>
      <c r="X28" s="9">
        <f t="shared" si="31"/>
        <v>57.70387704050944</v>
      </c>
    </row>
    <row r="29" spans="1:24" x14ac:dyDescent="0.25">
      <c r="A29" t="s">
        <v>14</v>
      </c>
      <c r="C29" s="8">
        <v>49</v>
      </c>
      <c r="D29" s="30">
        <v>49</v>
      </c>
      <c r="E29" s="9">
        <f t="shared" si="32"/>
        <v>50.714999999999996</v>
      </c>
      <c r="F29" s="9">
        <f t="shared" si="31"/>
        <v>52.490024999999989</v>
      </c>
      <c r="G29" s="9">
        <f t="shared" si="31"/>
        <v>54.32717587499998</v>
      </c>
      <c r="H29" s="9">
        <f t="shared" si="31"/>
        <v>56.228627030624978</v>
      </c>
      <c r="I29" s="9">
        <f t="shared" si="31"/>
        <v>58.19662897669685</v>
      </c>
      <c r="J29" s="9">
        <f t="shared" si="31"/>
        <v>60.233510990881236</v>
      </c>
      <c r="K29" s="9">
        <f t="shared" si="31"/>
        <v>62.341683875562076</v>
      </c>
      <c r="L29" s="9">
        <f t="shared" si="31"/>
        <v>64.523642811206741</v>
      </c>
      <c r="M29" s="9">
        <f t="shared" si="31"/>
        <v>66.781970309598975</v>
      </c>
      <c r="N29" s="9">
        <f t="shared" si="31"/>
        <v>69.119339270434935</v>
      </c>
      <c r="O29" s="9">
        <f t="shared" si="31"/>
        <v>71.538516144900157</v>
      </c>
      <c r="P29" s="9">
        <f t="shared" si="31"/>
        <v>74.042364209971652</v>
      </c>
      <c r="Q29" s="9">
        <f t="shared" si="31"/>
        <v>76.633846957320657</v>
      </c>
      <c r="R29" s="9">
        <f t="shared" si="31"/>
        <v>79.316031600826875</v>
      </c>
      <c r="S29" s="9">
        <f t="shared" si="31"/>
        <v>82.092092706855809</v>
      </c>
      <c r="T29" s="9">
        <f t="shared" si="31"/>
        <v>84.965315951595755</v>
      </c>
      <c r="U29" s="9">
        <f t="shared" si="31"/>
        <v>87.939102009901603</v>
      </c>
      <c r="V29" s="9">
        <f t="shared" si="31"/>
        <v>91.016970580248156</v>
      </c>
      <c r="W29" s="9">
        <f t="shared" si="31"/>
        <v>94.202564550556829</v>
      </c>
      <c r="X29" s="9">
        <f t="shared" si="31"/>
        <v>97.499654309826312</v>
      </c>
    </row>
    <row r="30" spans="1:24" x14ac:dyDescent="0.25">
      <c r="A30" t="s">
        <v>23</v>
      </c>
      <c r="C30" s="8">
        <v>3</v>
      </c>
      <c r="D30" s="30">
        <v>3</v>
      </c>
      <c r="E30" s="15">
        <v>0</v>
      </c>
      <c r="F30" s="15">
        <v>0</v>
      </c>
      <c r="G30" s="15">
        <v>0</v>
      </c>
      <c r="H30" s="15">
        <v>0</v>
      </c>
      <c r="I30" s="15">
        <v>0</v>
      </c>
      <c r="J30" s="15">
        <v>0</v>
      </c>
      <c r="K30" s="15">
        <v>0</v>
      </c>
      <c r="L30" s="15">
        <v>0</v>
      </c>
      <c r="M30" s="15">
        <v>0</v>
      </c>
      <c r="N30" s="15">
        <v>0</v>
      </c>
      <c r="O30" s="15">
        <v>0</v>
      </c>
      <c r="P30" s="15">
        <v>0</v>
      </c>
      <c r="Q30" s="15">
        <v>0</v>
      </c>
      <c r="R30" s="15">
        <v>0</v>
      </c>
      <c r="S30" s="15">
        <v>0</v>
      </c>
      <c r="T30" s="15">
        <v>0</v>
      </c>
      <c r="U30" s="15">
        <v>0</v>
      </c>
      <c r="V30" s="15">
        <v>0</v>
      </c>
      <c r="W30" s="15">
        <v>0</v>
      </c>
      <c r="X30" s="15">
        <v>0</v>
      </c>
    </row>
    <row r="31" spans="1:24" s="6" customFormat="1" x14ac:dyDescent="0.25">
      <c r="A31" s="6" t="s">
        <v>17</v>
      </c>
      <c r="C31" s="12">
        <f>SUM(C22:C30)</f>
        <v>1317</v>
      </c>
      <c r="D31" s="31">
        <f>SUM(D22:D30)</f>
        <v>1336</v>
      </c>
      <c r="E31" s="12">
        <f t="shared" ref="E31:X31" si="33">SUM(E22:E30)</f>
        <v>1429.0885999999998</v>
      </c>
      <c r="F31" s="12">
        <f t="shared" si="33"/>
        <v>1475.7232940199999</v>
      </c>
      <c r="G31" s="12">
        <f t="shared" si="33"/>
        <v>1524.2844890619135</v>
      </c>
      <c r="H31" s="12">
        <f t="shared" si="33"/>
        <v>1574.846256932437</v>
      </c>
      <c r="I31" s="12">
        <f t="shared" si="33"/>
        <v>1632.485632037391</v>
      </c>
      <c r="J31" s="12">
        <f t="shared" si="33"/>
        <v>1692.2827356864743</v>
      </c>
      <c r="K31" s="12">
        <f t="shared" si="33"/>
        <v>1754.3209058968723</v>
      </c>
      <c r="L31" s="12">
        <f t="shared" si="33"/>
        <v>1818.686832952133</v>
      </c>
      <c r="M31" s="12">
        <f t="shared" si="33"/>
        <v>1885.4707009852598</v>
      </c>
      <c r="N31" s="12">
        <f t="shared" si="33"/>
        <v>1954.7663358681509</v>
      </c>
      <c r="O31" s="12">
        <f t="shared" si="33"/>
        <v>2026.671359703349</v>
      </c>
      <c r="P31" s="12">
        <f t="shared" si="33"/>
        <v>2101.2873522286254</v>
      </c>
      <c r="Q31" s="12">
        <f t="shared" si="33"/>
        <v>2178.7200194602028</v>
      </c>
      <c r="R31" s="12">
        <f t="shared" si="33"/>
        <v>2259.0793699165151</v>
      </c>
      <c r="S31" s="12">
        <f t="shared" si="33"/>
        <v>2342.479898781276</v>
      </c>
      <c r="T31" s="12">
        <f t="shared" si="33"/>
        <v>2429.0407803824182</v>
      </c>
      <c r="U31" s="12">
        <f t="shared" si="33"/>
        <v>2518.8860693821111</v>
      </c>
      <c r="V31" s="12">
        <f t="shared" si="33"/>
        <v>2612.1449110927201</v>
      </c>
      <c r="W31" s="12">
        <f t="shared" si="33"/>
        <v>2708.9517613542212</v>
      </c>
      <c r="X31" s="12">
        <f t="shared" si="33"/>
        <v>2809.4466164302644</v>
      </c>
    </row>
    <row r="32" spans="1:24" x14ac:dyDescent="0.25">
      <c r="D32" s="21"/>
    </row>
    <row r="33" spans="1:24" x14ac:dyDescent="0.25">
      <c r="A33" t="s">
        <v>18</v>
      </c>
      <c r="C33" s="8">
        <v>177</v>
      </c>
      <c r="D33" s="30">
        <v>205</v>
      </c>
      <c r="E33" s="4">
        <f>MAX((D39+(E31-E18)/2)*E11,0)</f>
        <v>260.62510128124995</v>
      </c>
      <c r="F33" s="4">
        <f t="shared" ref="F33:X33" si="34">MAX((E39+(F31-F18)/2)*F11,0)</f>
        <v>316.34357859779061</v>
      </c>
      <c r="G33" s="4">
        <f t="shared" si="34"/>
        <v>389.87093635642481</v>
      </c>
      <c r="H33" s="4">
        <f t="shared" si="34"/>
        <v>414.38950550642835</v>
      </c>
      <c r="I33" s="4">
        <f t="shared" si="34"/>
        <v>431.4392921251852</v>
      </c>
      <c r="J33" s="4">
        <f t="shared" si="34"/>
        <v>440.04492504119895</v>
      </c>
      <c r="K33" s="4">
        <f t="shared" si="34"/>
        <v>439.10778183325408</v>
      </c>
      <c r="L33" s="4">
        <f t="shared" si="34"/>
        <v>427.42678055862672</v>
      </c>
      <c r="M33" s="4">
        <f t="shared" si="34"/>
        <v>406.4004688543244</v>
      </c>
      <c r="N33" s="4">
        <f t="shared" si="34"/>
        <v>377.74397837733176</v>
      </c>
      <c r="O33" s="4">
        <f t="shared" si="34"/>
        <v>340.64780058131123</v>
      </c>
      <c r="P33" s="4">
        <f t="shared" si="34"/>
        <v>294.06614645849612</v>
      </c>
      <c r="Q33" s="4">
        <f t="shared" si="34"/>
        <v>236.85334697436963</v>
      </c>
      <c r="R33" s="4">
        <f t="shared" si="34"/>
        <v>167.96027056839199</v>
      </c>
      <c r="S33" s="4">
        <f t="shared" si="34"/>
        <v>86.468323904777918</v>
      </c>
      <c r="T33" s="4">
        <f t="shared" si="34"/>
        <v>0</v>
      </c>
      <c r="U33" s="4">
        <f t="shared" si="34"/>
        <v>0</v>
      </c>
      <c r="V33" s="4">
        <f t="shared" si="34"/>
        <v>0</v>
      </c>
      <c r="W33" s="4">
        <f t="shared" si="34"/>
        <v>0</v>
      </c>
      <c r="X33" s="4">
        <f t="shared" si="34"/>
        <v>0</v>
      </c>
    </row>
    <row r="34" spans="1:24" s="6" customFormat="1" x14ac:dyDescent="0.25">
      <c r="A34" s="6" t="s">
        <v>19</v>
      </c>
      <c r="C34" s="12">
        <f>+C31+C33</f>
        <v>1494</v>
      </c>
      <c r="D34" s="31">
        <f t="shared" ref="D34:X34" si="35">+D31+D33</f>
        <v>1541</v>
      </c>
      <c r="E34" s="12">
        <f t="shared" si="35"/>
        <v>1689.7137012812498</v>
      </c>
      <c r="F34" s="12">
        <f t="shared" si="35"/>
        <v>1792.0668726177905</v>
      </c>
      <c r="G34" s="12">
        <f t="shared" si="35"/>
        <v>1914.1554254183384</v>
      </c>
      <c r="H34" s="12">
        <f t="shared" si="35"/>
        <v>1989.2357624388653</v>
      </c>
      <c r="I34" s="12">
        <f t="shared" si="35"/>
        <v>2063.9249241625762</v>
      </c>
      <c r="J34" s="12">
        <f t="shared" si="35"/>
        <v>2132.3276607276734</v>
      </c>
      <c r="K34" s="12">
        <f t="shared" si="35"/>
        <v>2193.4286877301265</v>
      </c>
      <c r="L34" s="12">
        <f t="shared" si="35"/>
        <v>2246.1136135107599</v>
      </c>
      <c r="M34" s="12">
        <f t="shared" si="35"/>
        <v>2291.8711698395841</v>
      </c>
      <c r="N34" s="12">
        <f t="shared" si="35"/>
        <v>2332.5103142454827</v>
      </c>
      <c r="O34" s="12">
        <f t="shared" si="35"/>
        <v>2367.31916028466</v>
      </c>
      <c r="P34" s="12">
        <f t="shared" si="35"/>
        <v>2395.3534986871214</v>
      </c>
      <c r="Q34" s="12">
        <f t="shared" si="35"/>
        <v>2415.5733664345726</v>
      </c>
      <c r="R34" s="12">
        <f t="shared" si="35"/>
        <v>2427.0396404849071</v>
      </c>
      <c r="S34" s="12">
        <f t="shared" si="35"/>
        <v>2428.9482226860541</v>
      </c>
      <c r="T34" s="12">
        <f t="shared" si="35"/>
        <v>2429.0407803824182</v>
      </c>
      <c r="U34" s="12">
        <f t="shared" si="35"/>
        <v>2518.8860693821111</v>
      </c>
      <c r="V34" s="12">
        <f t="shared" si="35"/>
        <v>2612.1449110927201</v>
      </c>
      <c r="W34" s="12">
        <f t="shared" si="35"/>
        <v>2708.9517613542212</v>
      </c>
      <c r="X34" s="12">
        <f t="shared" si="35"/>
        <v>2809.4466164302644</v>
      </c>
    </row>
    <row r="35" spans="1:24" x14ac:dyDescent="0.25">
      <c r="D35" s="21"/>
    </row>
    <row r="36" spans="1:24" x14ac:dyDescent="0.25">
      <c r="A36" s="6" t="s">
        <v>20</v>
      </c>
      <c r="C36" s="11">
        <f>+C18-C34</f>
        <v>-730</v>
      </c>
      <c r="D36" s="23">
        <f t="shared" ref="D36:X36" si="36">+D18-D34</f>
        <v>-584</v>
      </c>
      <c r="E36" s="11">
        <f t="shared" si="36"/>
        <v>-596.31357628124965</v>
      </c>
      <c r="F36" s="11">
        <f t="shared" si="36"/>
        <v>-536.90037261779071</v>
      </c>
      <c r="G36" s="11">
        <f t="shared" si="36"/>
        <v>-481.14091710583853</v>
      </c>
      <c r="H36" s="11">
        <f t="shared" si="36"/>
        <v>-360.66329037761557</v>
      </c>
      <c r="I36" s="11">
        <f t="shared" si="36"/>
        <v>-224.7127168663701</v>
      </c>
      <c r="J36" s="11">
        <f t="shared" si="36"/>
        <v>-70.747346583435956</v>
      </c>
      <c r="K36" s="11">
        <f t="shared" si="36"/>
        <v>102.92259672287764</v>
      </c>
      <c r="L36" s="11">
        <f t="shared" si="36"/>
        <v>298.12511370599714</v>
      </c>
      <c r="M36" s="11">
        <f t="shared" si="36"/>
        <v>423.77825480838237</v>
      </c>
      <c r="N36" s="11">
        <f t="shared" si="36"/>
        <v>560.09458490169618</v>
      </c>
      <c r="O36" s="11">
        <f t="shared" si="36"/>
        <v>713.54085276167734</v>
      </c>
      <c r="P36" s="11">
        <f t="shared" si="36"/>
        <v>885.76260545497416</v>
      </c>
      <c r="Q36" s="11">
        <f t="shared" si="36"/>
        <v>1078.5435101667022</v>
      </c>
      <c r="R36" s="11">
        <f t="shared" si="36"/>
        <v>1286.78544643853</v>
      </c>
      <c r="S36" s="11">
        <f t="shared" si="36"/>
        <v>1511.1047223455535</v>
      </c>
      <c r="T36" s="11">
        <f t="shared" si="36"/>
        <v>1751.0452625292146</v>
      </c>
      <c r="U36" s="11">
        <f t="shared" si="36"/>
        <v>1900.0661447958232</v>
      </c>
      <c r="V36" s="11">
        <f t="shared" si="36"/>
        <v>2038.8681067917555</v>
      </c>
      <c r="W36" s="11">
        <f t="shared" si="36"/>
        <v>2160.6635674155405</v>
      </c>
      <c r="X36" s="11">
        <f t="shared" si="36"/>
        <v>2266.6715245524679</v>
      </c>
    </row>
    <row r="37" spans="1:24" x14ac:dyDescent="0.25">
      <c r="D37" s="21"/>
      <c r="G37" s="11">
        <f>+G36+G33</f>
        <v>-91.269980749413719</v>
      </c>
      <c r="H37" s="11">
        <f>+H36+H33</f>
        <v>53.726215128812782</v>
      </c>
    </row>
    <row r="38" spans="1:24" x14ac:dyDescent="0.25">
      <c r="D38" s="21"/>
    </row>
    <row r="39" spans="1:24" x14ac:dyDescent="0.25">
      <c r="A39" s="21" t="s">
        <v>26</v>
      </c>
      <c r="B39" s="21"/>
      <c r="C39" s="22">
        <v>4735</v>
      </c>
      <c r="D39" s="23">
        <f>MAX(0,+C39-D36)</f>
        <v>5319</v>
      </c>
      <c r="E39" s="23">
        <f t="shared" ref="E39:X39" si="37">MAX(0,+D39-E36)</f>
        <v>5915.3135762812499</v>
      </c>
      <c r="F39" s="23">
        <f t="shared" si="37"/>
        <v>6452.2139488990406</v>
      </c>
      <c r="G39" s="23">
        <f t="shared" si="37"/>
        <v>6933.3548660048791</v>
      </c>
      <c r="H39" s="23">
        <f t="shared" si="37"/>
        <v>7294.0181563824945</v>
      </c>
      <c r="I39" s="23">
        <f t="shared" si="37"/>
        <v>7518.7308732488646</v>
      </c>
      <c r="J39" s="23">
        <f t="shared" si="37"/>
        <v>7589.478219832301</v>
      </c>
      <c r="K39" s="23">
        <f t="shared" si="37"/>
        <v>7486.5556231094233</v>
      </c>
      <c r="L39" s="23">
        <f t="shared" si="37"/>
        <v>7188.4305094034262</v>
      </c>
      <c r="M39" s="23">
        <f t="shared" si="37"/>
        <v>6764.6522545950438</v>
      </c>
      <c r="N39" s="23">
        <f t="shared" si="37"/>
        <v>6204.5576696933476</v>
      </c>
      <c r="O39" s="23">
        <f t="shared" si="37"/>
        <v>5491.0168169316703</v>
      </c>
      <c r="P39" s="23">
        <f t="shared" si="37"/>
        <v>4605.2542114766966</v>
      </c>
      <c r="Q39" s="23">
        <f t="shared" si="37"/>
        <v>3526.7107013099944</v>
      </c>
      <c r="R39" s="23">
        <f t="shared" si="37"/>
        <v>2239.9252548714644</v>
      </c>
      <c r="S39" s="23">
        <f t="shared" si="37"/>
        <v>728.82053252591095</v>
      </c>
      <c r="T39" s="23">
        <f t="shared" si="37"/>
        <v>0</v>
      </c>
      <c r="U39" s="23">
        <f t="shared" si="37"/>
        <v>0</v>
      </c>
      <c r="V39" s="23">
        <f t="shared" si="37"/>
        <v>0</v>
      </c>
      <c r="W39" s="23">
        <f t="shared" si="37"/>
        <v>0</v>
      </c>
      <c r="X39" s="23">
        <f t="shared" si="37"/>
        <v>0</v>
      </c>
    </row>
    <row r="40" spans="1:24" x14ac:dyDescent="0.25">
      <c r="A40" s="21" t="s">
        <v>27</v>
      </c>
      <c r="B40" s="21"/>
      <c r="C40" s="22">
        <v>4722</v>
      </c>
      <c r="D40" s="24">
        <f>IF(D39&gt;0,C40+D41,MAX(0,C40+D41-(D36-(C39-D39))))</f>
        <v>4722</v>
      </c>
      <c r="E40" s="24">
        <f t="shared" ref="E40:X40" si="38">IF(E39&gt;0,D40+E41,MAX(0,D40+E41-(E36-(D39-E39))))</f>
        <v>4722</v>
      </c>
      <c r="F40" s="24">
        <f t="shared" si="38"/>
        <v>4722</v>
      </c>
      <c r="G40" s="24">
        <f t="shared" si="38"/>
        <v>5322</v>
      </c>
      <c r="H40" s="24">
        <f t="shared" si="38"/>
        <v>6022</v>
      </c>
      <c r="I40" s="24">
        <f t="shared" si="38"/>
        <v>6722</v>
      </c>
      <c r="J40" s="24">
        <f t="shared" si="38"/>
        <v>7422</v>
      </c>
      <c r="K40" s="24">
        <f t="shared" si="38"/>
        <v>7500</v>
      </c>
      <c r="L40" s="24">
        <f t="shared" si="38"/>
        <v>7500</v>
      </c>
      <c r="M40" s="24">
        <f t="shared" si="38"/>
        <v>7500</v>
      </c>
      <c r="N40" s="24">
        <f t="shared" si="38"/>
        <v>7500</v>
      </c>
      <c r="O40" s="24">
        <f t="shared" si="38"/>
        <v>7500</v>
      </c>
      <c r="P40" s="24">
        <f t="shared" si="38"/>
        <v>7500</v>
      </c>
      <c r="Q40" s="24">
        <f t="shared" si="38"/>
        <v>7500</v>
      </c>
      <c r="R40" s="24">
        <f t="shared" si="38"/>
        <v>7500</v>
      </c>
      <c r="S40" s="24">
        <f t="shared" si="38"/>
        <v>7500</v>
      </c>
      <c r="T40" s="24">
        <f t="shared" si="38"/>
        <v>6477.7752699966968</v>
      </c>
      <c r="U40" s="24">
        <f t="shared" si="38"/>
        <v>4577.709125200874</v>
      </c>
      <c r="V40" s="24">
        <f t="shared" si="38"/>
        <v>2538.8410184091185</v>
      </c>
      <c r="W40" s="24">
        <f t="shared" si="38"/>
        <v>378.17745099357808</v>
      </c>
      <c r="X40" s="24">
        <f t="shared" si="38"/>
        <v>0</v>
      </c>
    </row>
    <row r="41" spans="1:24" x14ac:dyDescent="0.25">
      <c r="A41" t="s">
        <v>31</v>
      </c>
      <c r="D41" s="21"/>
      <c r="G41">
        <f>IF(SUM($D41:F41)&lt;(7500-$C40),IF((10000*G6/1000+SUM($D41:F41))&lt;(7500-$C40),10000*G6/1000,7500-$C40-SUM($D41:F41)),0)</f>
        <v>600</v>
      </c>
      <c r="H41">
        <f>IF(SUM($D41:G41)&lt;(7500-$C40),IF((10000*H6/1000+SUM($D41:G41))&lt;(7500-$C40),10000*H6/1000,7500-$C40-SUM($D41:G41)),0)</f>
        <v>700</v>
      </c>
      <c r="I41">
        <f>IF(SUM($D41:H41)&lt;(7500-$C40),IF((10000*I6/1000+SUM($D41:H41))&lt;(7500-$C40),10000*I6/1000,7500-$C40-SUM($D41:H41)),0)</f>
        <v>700</v>
      </c>
      <c r="J41">
        <f>IF(SUM($D41:I41)&lt;(7500-$C40),IF((10000*J6/1000+SUM($D41:I41))&lt;(7500-$C40),10000*J6/1000,7500-$C40-SUM($D41:I41)),0)</f>
        <v>700</v>
      </c>
      <c r="K41">
        <f>IF(SUM($D41:J41)&lt;(7500-$C40),IF((10000*K6/1000+SUM($D41:J41))&lt;(7500-$C40),10000*K6/1000,7500-$C40-SUM($D41:J41)),0)</f>
        <v>78</v>
      </c>
      <c r="L41">
        <f>IF(SUM($D41:K41)&lt;(7500-$C40),IF((10000*L6/1000+SUM($D41:K41))&lt;(7500-$C40),10000*L6/1000,7500-$C40-SUM($D41:K41)),0)</f>
        <v>0</v>
      </c>
      <c r="M41">
        <f>IF(SUM($D41:L41)&lt;(7500-$C40),IF((10000*M6/1000+SUM($D41:L41))&lt;(7500-$C40),10000*M6/1000,7500-$C40-SUM($D41:L41)),0)</f>
        <v>0</v>
      </c>
      <c r="N41">
        <f>IF(SUM($D41:M41)&lt;(7500-$C40),IF((10000*N6/1000+SUM($D41:M41))&lt;(7500-$C40),10000*N6/1000,7500-$C40-SUM($D41:M41)),0)</f>
        <v>0</v>
      </c>
      <c r="O41">
        <f>IF(SUM($D41:N41)&lt;(7500-$C40),IF((10000*O6/1000+SUM($D41:N41))&lt;(7500-$C40),10000*O6/1000,7500-$C40-SUM($D41:N41)),0)</f>
        <v>0</v>
      </c>
      <c r="P41">
        <f>IF(SUM($D41:O41)&lt;(7500-$C40),IF((10000*P6/1000+SUM($D41:O41))&lt;(7500-$C40),10000*P6/1000,7500-$C40-SUM($D41:O41)),0)</f>
        <v>0</v>
      </c>
      <c r="Q41">
        <f>IF(SUM($D41:P41)&lt;(7500-$C40),IF((10000*Q6/1000+SUM($D41:P41))&lt;(7500-$C40),10000*Q6/1000,7500-$C40-SUM($D41:P41)),0)</f>
        <v>0</v>
      </c>
      <c r="R41">
        <f>IF(SUM($D41:Q41)&lt;(7500-$C40),IF((10000*R6/1000+SUM($D41:Q41))&lt;(7500-$C40),10000*R6/1000,7500-$C40-SUM($D41:Q41)),0)</f>
        <v>0</v>
      </c>
      <c r="S41">
        <f>IF(SUM($D41:R41)&lt;(7500-$C40),IF((10000*S6/1000+SUM($D41:R41))&lt;(7500-$C40),10000*S6/1000,7500-$C40-SUM($D41:R41)),0)</f>
        <v>0</v>
      </c>
      <c r="T41">
        <f>IF(SUM($D41:S41)&lt;(7500-$C40),IF((10000*T6/1000+SUM($D41:S41))&lt;(7500-$C40),10000*T6/1000,7500-$C40-SUM($D41:S41)),0)</f>
        <v>0</v>
      </c>
      <c r="U41">
        <f>IF(SUM($D41:T41)&lt;(7500-$C40),IF((10000*U6/1000+SUM($D41:T41))&lt;(7500-$C40),10000*U6/1000,7500-$C40-SUM($D41:T41)),0)</f>
        <v>0</v>
      </c>
      <c r="V41">
        <f>IF(SUM($D41:U41)&lt;(7500-$C40),IF((10000*V6/1000+SUM($D41:U41))&lt;(7500-$C40),10000*V6/1000,7500-$C40-SUM($D41:U41)),0)</f>
        <v>0</v>
      </c>
      <c r="W41">
        <f>IF(SUM($D41:V41)&lt;(7500-$C40),IF((10000*W6/1000+SUM($D41:V41))&lt;(7500-$C40),10000*W6/1000,7500-$C40-SUM($D41:V41)),0)</f>
        <v>0</v>
      </c>
      <c r="X41">
        <f>IF(SUM($D41:W41)&lt;(7500-$C40),IF((10000*X6/1000+SUM($D41:W41))&lt;(7500-$C40),10000*X6/1000,7500-$C40-SUM($D41:W41)),0)</f>
        <v>0</v>
      </c>
    </row>
    <row r="76" spans="1:11" x14ac:dyDescent="0.25">
      <c r="A76" t="s">
        <v>34</v>
      </c>
      <c r="C76">
        <v>3638</v>
      </c>
      <c r="D76">
        <v>3445</v>
      </c>
      <c r="E76">
        <v>3277</v>
      </c>
      <c r="F76">
        <v>2814</v>
      </c>
      <c r="G76">
        <v>2312</v>
      </c>
      <c r="H76">
        <v>1676</v>
      </c>
      <c r="I76">
        <v>1159</v>
      </c>
      <c r="J76">
        <v>412</v>
      </c>
      <c r="K76">
        <v>0</v>
      </c>
    </row>
  </sheetData>
  <pageMargins left="0.7" right="0.7" top="0.75" bottom="0.75" header="0.3" footer="0.3"/>
  <pageSetup paperSize="3" scale="73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Y79"/>
  <sheetViews>
    <sheetView workbookViewId="0">
      <selection activeCell="C22" sqref="C22"/>
    </sheetView>
  </sheetViews>
  <sheetFormatPr defaultRowHeight="15" x14ac:dyDescent="0.25"/>
  <cols>
    <col min="1" max="1" width="24.5703125" customWidth="1"/>
    <col min="2" max="2" width="11.140625" customWidth="1"/>
    <col min="3" max="3" width="11.5703125" bestFit="1" customWidth="1"/>
    <col min="4" max="4" width="9.5703125" bestFit="1" customWidth="1"/>
    <col min="5" max="5" width="10.5703125" customWidth="1"/>
    <col min="6" max="7" width="9.42578125" bestFit="1" customWidth="1"/>
    <col min="8" max="24" width="8.5703125" customWidth="1"/>
  </cols>
  <sheetData>
    <row r="1" spans="1:25" ht="25.7" x14ac:dyDescent="0.5">
      <c r="A1" s="19" t="s">
        <v>22</v>
      </c>
    </row>
    <row r="2" spans="1:25" ht="18" x14ac:dyDescent="0.35">
      <c r="A2" s="20" t="s">
        <v>35</v>
      </c>
    </row>
    <row r="3" spans="1:25" ht="14.45" x14ac:dyDescent="0.3">
      <c r="A3" t="s">
        <v>28</v>
      </c>
      <c r="C3" s="14">
        <v>2009</v>
      </c>
      <c r="D3" s="14" t="s">
        <v>36</v>
      </c>
      <c r="E3" s="27" t="s">
        <v>37</v>
      </c>
      <c r="F3" s="14">
        <v>2012</v>
      </c>
      <c r="G3" s="14">
        <f t="shared" ref="G3:V3" si="0">+F3+1</f>
        <v>2013</v>
      </c>
      <c r="H3" s="14">
        <f t="shared" si="0"/>
        <v>2014</v>
      </c>
      <c r="I3" s="14">
        <f t="shared" si="0"/>
        <v>2015</v>
      </c>
      <c r="J3" s="14">
        <f t="shared" si="0"/>
        <v>2016</v>
      </c>
      <c r="K3" s="14">
        <f t="shared" si="0"/>
        <v>2017</v>
      </c>
      <c r="L3" s="14">
        <f t="shared" si="0"/>
        <v>2018</v>
      </c>
      <c r="M3" s="14">
        <f t="shared" si="0"/>
        <v>2019</v>
      </c>
      <c r="N3" s="14">
        <f t="shared" si="0"/>
        <v>2020</v>
      </c>
      <c r="O3" s="14">
        <f t="shared" si="0"/>
        <v>2021</v>
      </c>
      <c r="P3" s="14">
        <f t="shared" si="0"/>
        <v>2022</v>
      </c>
      <c r="Q3" s="14">
        <f t="shared" si="0"/>
        <v>2023</v>
      </c>
      <c r="R3" s="14">
        <f t="shared" si="0"/>
        <v>2024</v>
      </c>
      <c r="S3" s="14">
        <f t="shared" si="0"/>
        <v>2025</v>
      </c>
      <c r="T3" s="14">
        <f t="shared" si="0"/>
        <v>2026</v>
      </c>
      <c r="U3" s="14">
        <f t="shared" si="0"/>
        <v>2027</v>
      </c>
      <c r="V3" s="14">
        <f t="shared" si="0"/>
        <v>2028</v>
      </c>
      <c r="W3" s="14">
        <f>+V3+1</f>
        <v>2029</v>
      </c>
      <c r="X3" s="14">
        <f>+W3+1</f>
        <v>2030</v>
      </c>
    </row>
    <row r="4" spans="1:25" ht="14.45" x14ac:dyDescent="0.3">
      <c r="E4" s="21"/>
    </row>
    <row r="5" spans="1:25" ht="14.45" x14ac:dyDescent="0.3">
      <c r="A5" s="1" t="s">
        <v>0</v>
      </c>
      <c r="C5">
        <v>335</v>
      </c>
      <c r="D5">
        <f>+C5+D6</f>
        <v>375</v>
      </c>
      <c r="E5" s="21">
        <f t="shared" ref="E5:X5" si="1">+D5+E6</f>
        <v>415</v>
      </c>
      <c r="F5">
        <f t="shared" si="1"/>
        <v>465</v>
      </c>
      <c r="G5">
        <f t="shared" si="1"/>
        <v>525</v>
      </c>
      <c r="H5">
        <f t="shared" si="1"/>
        <v>595</v>
      </c>
      <c r="I5">
        <f t="shared" si="1"/>
        <v>665</v>
      </c>
      <c r="J5">
        <f t="shared" si="1"/>
        <v>735</v>
      </c>
      <c r="K5">
        <f t="shared" si="1"/>
        <v>805</v>
      </c>
      <c r="L5">
        <f t="shared" si="1"/>
        <v>875</v>
      </c>
      <c r="M5">
        <f t="shared" si="1"/>
        <v>935</v>
      </c>
      <c r="N5">
        <f t="shared" si="1"/>
        <v>995</v>
      </c>
      <c r="O5">
        <f t="shared" si="1"/>
        <v>1055</v>
      </c>
      <c r="P5">
        <f t="shared" si="1"/>
        <v>1115</v>
      </c>
      <c r="Q5">
        <f t="shared" si="1"/>
        <v>1175</v>
      </c>
      <c r="R5">
        <f t="shared" si="1"/>
        <v>1225</v>
      </c>
      <c r="S5">
        <f t="shared" si="1"/>
        <v>1275</v>
      </c>
      <c r="T5">
        <f t="shared" si="1"/>
        <v>1325</v>
      </c>
      <c r="U5">
        <f t="shared" si="1"/>
        <v>1355</v>
      </c>
      <c r="V5">
        <f t="shared" si="1"/>
        <v>1380</v>
      </c>
      <c r="W5">
        <f t="shared" si="1"/>
        <v>1380</v>
      </c>
      <c r="X5">
        <f t="shared" si="1"/>
        <v>1380</v>
      </c>
    </row>
    <row r="6" spans="1:25" ht="14.45" x14ac:dyDescent="0.3">
      <c r="A6" s="1" t="s">
        <v>1</v>
      </c>
      <c r="D6" s="3">
        <v>40</v>
      </c>
      <c r="E6" s="28">
        <v>40</v>
      </c>
      <c r="F6" s="3">
        <v>50</v>
      </c>
      <c r="G6" s="3">
        <v>60</v>
      </c>
      <c r="H6" s="3">
        <v>70</v>
      </c>
      <c r="I6" s="3">
        <v>70</v>
      </c>
      <c r="J6" s="3">
        <v>70</v>
      </c>
      <c r="K6" s="3">
        <v>70</v>
      </c>
      <c r="L6" s="3">
        <v>70</v>
      </c>
      <c r="M6" s="3">
        <v>60</v>
      </c>
      <c r="N6" s="3">
        <v>60</v>
      </c>
      <c r="O6" s="3">
        <v>60</v>
      </c>
      <c r="P6" s="3">
        <v>60</v>
      </c>
      <c r="Q6" s="3">
        <v>60</v>
      </c>
      <c r="R6" s="3">
        <v>50</v>
      </c>
      <c r="S6" s="3">
        <v>50</v>
      </c>
      <c r="T6" s="3">
        <v>50</v>
      </c>
      <c r="U6" s="3">
        <v>30</v>
      </c>
      <c r="V6" s="3">
        <v>25</v>
      </c>
      <c r="W6" s="3">
        <v>0</v>
      </c>
      <c r="X6" s="3">
        <v>0</v>
      </c>
      <c r="Y6" s="2"/>
    </row>
    <row r="7" spans="1:25" ht="14.45" x14ac:dyDescent="0.3">
      <c r="A7" t="s">
        <v>32</v>
      </c>
      <c r="D7" s="33">
        <f>+D8/C8-1</f>
        <v>9.8654708520179435E-2</v>
      </c>
      <c r="E7" s="32">
        <v>0</v>
      </c>
      <c r="F7" s="25">
        <v>0.05</v>
      </c>
      <c r="G7" s="26">
        <f>+F7</f>
        <v>0.05</v>
      </c>
      <c r="H7" s="26">
        <f t="shared" ref="H7:X7" si="2">+G7</f>
        <v>0.05</v>
      </c>
      <c r="I7" s="26">
        <f t="shared" si="2"/>
        <v>0.05</v>
      </c>
      <c r="J7" s="26">
        <f t="shared" si="2"/>
        <v>0.05</v>
      </c>
      <c r="K7" s="26">
        <f t="shared" si="2"/>
        <v>0.05</v>
      </c>
      <c r="L7" s="26">
        <f t="shared" si="2"/>
        <v>0.05</v>
      </c>
      <c r="M7" s="26">
        <f t="shared" si="2"/>
        <v>0.05</v>
      </c>
      <c r="N7" s="26">
        <f t="shared" si="2"/>
        <v>0.05</v>
      </c>
      <c r="O7" s="26">
        <f t="shared" si="2"/>
        <v>0.05</v>
      </c>
      <c r="P7" s="26">
        <f t="shared" si="2"/>
        <v>0.05</v>
      </c>
      <c r="Q7" s="26">
        <f t="shared" si="2"/>
        <v>0.05</v>
      </c>
      <c r="R7" s="26">
        <f t="shared" si="2"/>
        <v>0.05</v>
      </c>
      <c r="S7" s="26">
        <f t="shared" si="2"/>
        <v>0.05</v>
      </c>
      <c r="T7" s="26">
        <f t="shared" si="2"/>
        <v>0.05</v>
      </c>
      <c r="U7" s="26">
        <f t="shared" si="2"/>
        <v>0.05</v>
      </c>
      <c r="V7" s="26">
        <f t="shared" si="2"/>
        <v>0.05</v>
      </c>
      <c r="W7" s="26">
        <f t="shared" si="2"/>
        <v>0.05</v>
      </c>
      <c r="X7" s="26">
        <f t="shared" si="2"/>
        <v>0.05</v>
      </c>
      <c r="Y7" s="2"/>
    </row>
    <row r="8" spans="1:25" ht="14.45" x14ac:dyDescent="0.3">
      <c r="A8" t="s">
        <v>3</v>
      </c>
      <c r="C8" s="3">
        <f>55.75*12</f>
        <v>669</v>
      </c>
      <c r="D8" s="3">
        <v>735</v>
      </c>
      <c r="E8" s="24">
        <f>+D8*(1+E7)</f>
        <v>735</v>
      </c>
      <c r="F8" s="4">
        <f t="shared" ref="F8:X8" si="3">+E8*(1+F7)</f>
        <v>771.75</v>
      </c>
      <c r="G8" s="4">
        <f t="shared" si="3"/>
        <v>810.33750000000009</v>
      </c>
      <c r="H8" s="4">
        <f t="shared" si="3"/>
        <v>850.85437500000012</v>
      </c>
      <c r="I8" s="4">
        <f t="shared" si="3"/>
        <v>893.39709375000018</v>
      </c>
      <c r="J8" s="4">
        <f t="shared" si="3"/>
        <v>938.06694843750017</v>
      </c>
      <c r="K8" s="4">
        <f t="shared" si="3"/>
        <v>984.97029585937526</v>
      </c>
      <c r="L8" s="4">
        <f t="shared" si="3"/>
        <v>1034.218810652344</v>
      </c>
      <c r="M8" s="4">
        <f t="shared" si="3"/>
        <v>1085.9297511849613</v>
      </c>
      <c r="N8" s="4">
        <f t="shared" si="3"/>
        <v>1140.2262387442095</v>
      </c>
      <c r="O8" s="4">
        <f t="shared" si="3"/>
        <v>1197.2375506814201</v>
      </c>
      <c r="P8" s="4">
        <f t="shared" si="3"/>
        <v>1257.0994282154911</v>
      </c>
      <c r="Q8" s="4">
        <f t="shared" si="3"/>
        <v>1319.9543996262657</v>
      </c>
      <c r="R8" s="4">
        <f t="shared" si="3"/>
        <v>1385.9521196075791</v>
      </c>
      <c r="S8" s="4">
        <f t="shared" si="3"/>
        <v>1455.2497255879582</v>
      </c>
      <c r="T8" s="4">
        <f t="shared" si="3"/>
        <v>1528.0122118673562</v>
      </c>
      <c r="U8" s="4">
        <f t="shared" si="3"/>
        <v>1604.4128224607241</v>
      </c>
      <c r="V8" s="4">
        <f t="shared" si="3"/>
        <v>1684.6334635837604</v>
      </c>
      <c r="W8" s="4">
        <f t="shared" si="3"/>
        <v>1768.8651367629486</v>
      </c>
      <c r="X8" s="4">
        <f t="shared" si="3"/>
        <v>1857.3083936010962</v>
      </c>
    </row>
    <row r="9" spans="1:25" ht="14.45" x14ac:dyDescent="0.3">
      <c r="A9" t="s">
        <v>4</v>
      </c>
      <c r="E9" s="36">
        <v>3.5000000000000003E-2</v>
      </c>
      <c r="F9" s="17">
        <f>+E9</f>
        <v>3.5000000000000003E-2</v>
      </c>
      <c r="G9" s="17">
        <f t="shared" ref="G9:X9" si="4">+F9</f>
        <v>3.5000000000000003E-2</v>
      </c>
      <c r="H9" s="17">
        <f t="shared" si="4"/>
        <v>3.5000000000000003E-2</v>
      </c>
      <c r="I9" s="17">
        <f t="shared" si="4"/>
        <v>3.5000000000000003E-2</v>
      </c>
      <c r="J9" s="17">
        <f t="shared" si="4"/>
        <v>3.5000000000000003E-2</v>
      </c>
      <c r="K9" s="17">
        <f t="shared" si="4"/>
        <v>3.5000000000000003E-2</v>
      </c>
      <c r="L9" s="17">
        <f t="shared" si="4"/>
        <v>3.5000000000000003E-2</v>
      </c>
      <c r="M9" s="17">
        <f t="shared" si="4"/>
        <v>3.5000000000000003E-2</v>
      </c>
      <c r="N9" s="17">
        <f t="shared" si="4"/>
        <v>3.5000000000000003E-2</v>
      </c>
      <c r="O9" s="17">
        <f t="shared" si="4"/>
        <v>3.5000000000000003E-2</v>
      </c>
      <c r="P9" s="17">
        <f t="shared" si="4"/>
        <v>3.5000000000000003E-2</v>
      </c>
      <c r="Q9" s="17">
        <f t="shared" si="4"/>
        <v>3.5000000000000003E-2</v>
      </c>
      <c r="R9" s="17">
        <f t="shared" si="4"/>
        <v>3.5000000000000003E-2</v>
      </c>
      <c r="S9" s="17">
        <f t="shared" si="4"/>
        <v>3.5000000000000003E-2</v>
      </c>
      <c r="T9" s="17">
        <f t="shared" si="4"/>
        <v>3.5000000000000003E-2</v>
      </c>
      <c r="U9" s="17">
        <f t="shared" si="4"/>
        <v>3.5000000000000003E-2</v>
      </c>
      <c r="V9" s="17">
        <f t="shared" si="4"/>
        <v>3.5000000000000003E-2</v>
      </c>
      <c r="W9" s="17">
        <f t="shared" si="4"/>
        <v>3.5000000000000003E-2</v>
      </c>
      <c r="X9" s="17">
        <f t="shared" si="4"/>
        <v>3.5000000000000003E-2</v>
      </c>
    </row>
    <row r="10" spans="1:25" ht="14.45" x14ac:dyDescent="0.3">
      <c r="A10" t="s">
        <v>24</v>
      </c>
      <c r="E10" s="37"/>
      <c r="F10" s="16">
        <v>85</v>
      </c>
      <c r="G10" s="16">
        <v>85</v>
      </c>
      <c r="H10" s="16">
        <v>85</v>
      </c>
      <c r="I10" s="16">
        <v>85</v>
      </c>
      <c r="J10" s="16">
        <v>85</v>
      </c>
      <c r="K10" s="16">
        <v>85</v>
      </c>
      <c r="L10" s="16">
        <v>85</v>
      </c>
      <c r="M10" s="16">
        <v>0</v>
      </c>
      <c r="N10" s="16">
        <v>0</v>
      </c>
      <c r="O10" s="16">
        <v>0</v>
      </c>
      <c r="P10" s="16">
        <v>0</v>
      </c>
      <c r="Q10" s="16">
        <v>0</v>
      </c>
      <c r="R10" s="16">
        <v>0</v>
      </c>
      <c r="S10" s="16">
        <v>0</v>
      </c>
      <c r="T10" s="16">
        <v>0</v>
      </c>
      <c r="U10" s="16">
        <v>0</v>
      </c>
      <c r="V10" s="16">
        <v>0</v>
      </c>
      <c r="W10" s="16">
        <v>0</v>
      </c>
      <c r="X10" s="16">
        <v>0</v>
      </c>
    </row>
    <row r="11" spans="1:25" x14ac:dyDescent="0.25">
      <c r="A11" t="s">
        <v>25</v>
      </c>
      <c r="D11" s="18">
        <v>4.2500000000000003E-2</v>
      </c>
      <c r="E11" s="38">
        <v>4.2500000000000003E-2</v>
      </c>
      <c r="F11" s="18">
        <v>4.4999999999999998E-2</v>
      </c>
      <c r="G11" s="18">
        <v>0.05</v>
      </c>
      <c r="H11" s="18">
        <v>0.06</v>
      </c>
      <c r="I11" s="18">
        <v>0.06</v>
      </c>
      <c r="J11" s="18">
        <v>0.06</v>
      </c>
      <c r="K11" s="18">
        <v>0.06</v>
      </c>
      <c r="L11" s="18">
        <v>0.06</v>
      </c>
      <c r="M11" s="18">
        <v>0.06</v>
      </c>
      <c r="N11" s="18">
        <v>0.06</v>
      </c>
      <c r="O11" s="18">
        <v>0.06</v>
      </c>
      <c r="P11" s="18">
        <v>0.06</v>
      </c>
      <c r="Q11" s="18">
        <v>0.06</v>
      </c>
      <c r="R11" s="18">
        <v>0.06</v>
      </c>
      <c r="S11" s="18">
        <v>0.06</v>
      </c>
      <c r="T11" s="18">
        <v>0.06</v>
      </c>
      <c r="U11" s="18">
        <v>0.06</v>
      </c>
      <c r="V11" s="18">
        <v>0.06</v>
      </c>
      <c r="W11" s="18">
        <v>0.06</v>
      </c>
      <c r="X11" s="18">
        <v>0.06</v>
      </c>
    </row>
    <row r="12" spans="1:25" x14ac:dyDescent="0.25">
      <c r="E12" s="21"/>
    </row>
    <row r="13" spans="1:25" x14ac:dyDescent="0.25">
      <c r="A13" s="7" t="s">
        <v>41</v>
      </c>
      <c r="E13" s="21"/>
    </row>
    <row r="14" spans="1:25" x14ac:dyDescent="0.25">
      <c r="A14" t="s">
        <v>2</v>
      </c>
      <c r="C14" s="3">
        <v>214</v>
      </c>
      <c r="D14" s="3">
        <v>267</v>
      </c>
      <c r="E14" s="24">
        <v>295</v>
      </c>
      <c r="F14" s="4">
        <f t="shared" ref="F14:X14" si="5">+(F5+E5)/2*F8/1000</f>
        <v>339.57</v>
      </c>
      <c r="G14" s="4">
        <f t="shared" si="5"/>
        <v>401.11706250000003</v>
      </c>
      <c r="H14" s="4">
        <f t="shared" si="5"/>
        <v>476.47845000000007</v>
      </c>
      <c r="I14" s="4">
        <f t="shared" si="5"/>
        <v>562.84016906250008</v>
      </c>
      <c r="J14" s="4">
        <f t="shared" si="5"/>
        <v>656.64686390625013</v>
      </c>
      <c r="K14" s="4">
        <f t="shared" si="5"/>
        <v>758.42712781171895</v>
      </c>
      <c r="L14" s="4">
        <f t="shared" si="5"/>
        <v>868.74380094796902</v>
      </c>
      <c r="M14" s="4">
        <f t="shared" si="5"/>
        <v>982.76642482238992</v>
      </c>
      <c r="N14" s="4">
        <f t="shared" si="5"/>
        <v>1100.318320388162</v>
      </c>
      <c r="O14" s="4">
        <f t="shared" si="5"/>
        <v>1227.1684894484556</v>
      </c>
      <c r="P14" s="4">
        <f t="shared" si="5"/>
        <v>1363.9528796138079</v>
      </c>
      <c r="Q14" s="4">
        <f t="shared" si="5"/>
        <v>1511.3477875720741</v>
      </c>
      <c r="R14" s="4">
        <f t="shared" si="5"/>
        <v>1663.1425435290948</v>
      </c>
      <c r="S14" s="4">
        <f t="shared" si="5"/>
        <v>1819.0621569849479</v>
      </c>
      <c r="T14" s="4">
        <f t="shared" si="5"/>
        <v>1986.4158754275629</v>
      </c>
      <c r="U14" s="4">
        <f t="shared" si="5"/>
        <v>2149.9131820973703</v>
      </c>
      <c r="V14" s="4">
        <f t="shared" si="5"/>
        <v>2303.736261450792</v>
      </c>
      <c r="W14" s="4">
        <f t="shared" si="5"/>
        <v>2441.0338887328694</v>
      </c>
      <c r="X14" s="4">
        <f t="shared" si="5"/>
        <v>2563.085583169513</v>
      </c>
    </row>
    <row r="15" spans="1:25" x14ac:dyDescent="0.25">
      <c r="A15" t="s">
        <v>5</v>
      </c>
      <c r="C15" s="3">
        <v>5</v>
      </c>
      <c r="D15" s="3">
        <v>5</v>
      </c>
      <c r="E15" s="24">
        <f>+D15*(1+E$9)</f>
        <v>5.1749999999999998</v>
      </c>
      <c r="F15" s="4">
        <f t="shared" ref="F15:X15" si="6">+E15*(1+F$9)</f>
        <v>5.3561249999999996</v>
      </c>
      <c r="G15" s="4">
        <f t="shared" si="6"/>
        <v>5.5435893749999989</v>
      </c>
      <c r="H15" s="4">
        <f t="shared" si="6"/>
        <v>5.7376150031249988</v>
      </c>
      <c r="I15" s="4">
        <f t="shared" si="6"/>
        <v>5.9384315282343731</v>
      </c>
      <c r="J15" s="4">
        <f t="shared" si="6"/>
        <v>6.1462766317225759</v>
      </c>
      <c r="K15" s="4">
        <f t="shared" si="6"/>
        <v>6.3613963138328655</v>
      </c>
      <c r="L15" s="4">
        <f t="shared" si="6"/>
        <v>6.5840451848170156</v>
      </c>
      <c r="M15" s="4">
        <f t="shared" si="6"/>
        <v>6.8144867662856106</v>
      </c>
      <c r="N15" s="4">
        <f t="shared" si="6"/>
        <v>7.0529938031056068</v>
      </c>
      <c r="O15" s="4">
        <f t="shared" si="6"/>
        <v>7.2998485862143028</v>
      </c>
      <c r="P15" s="4">
        <f t="shared" si="6"/>
        <v>7.5553432867318024</v>
      </c>
      <c r="Q15" s="4">
        <f t="shared" si="6"/>
        <v>7.8197803017674152</v>
      </c>
      <c r="R15" s="4">
        <f t="shared" si="6"/>
        <v>8.0934726123292737</v>
      </c>
      <c r="S15" s="4">
        <f t="shared" si="6"/>
        <v>8.3767441537607983</v>
      </c>
      <c r="T15" s="4">
        <f t="shared" si="6"/>
        <v>8.669930199142426</v>
      </c>
      <c r="U15" s="4">
        <f t="shared" si="6"/>
        <v>8.9733777561124111</v>
      </c>
      <c r="V15" s="4">
        <f t="shared" si="6"/>
        <v>9.2874459775763452</v>
      </c>
      <c r="W15" s="4">
        <f t="shared" si="6"/>
        <v>9.6125065867915165</v>
      </c>
      <c r="X15" s="4">
        <f t="shared" si="6"/>
        <v>9.948944317329218</v>
      </c>
    </row>
    <row r="16" spans="1:25" x14ac:dyDescent="0.25">
      <c r="A16" t="s">
        <v>39</v>
      </c>
      <c r="C16" s="3">
        <v>4</v>
      </c>
      <c r="D16" s="3">
        <v>3</v>
      </c>
      <c r="E16" s="24">
        <v>0</v>
      </c>
      <c r="F16" s="4">
        <v>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</row>
    <row r="17" spans="1:24" x14ac:dyDescent="0.25">
      <c r="A17" t="s">
        <v>6</v>
      </c>
      <c r="C17" s="34">
        <v>0</v>
      </c>
      <c r="D17" s="34">
        <v>0</v>
      </c>
      <c r="E17" s="24">
        <v>-2</v>
      </c>
      <c r="F17" s="4">
        <f t="shared" ref="F17:X17" si="7">-0.015*F14</f>
        <v>-5.0935499999999996</v>
      </c>
      <c r="G17" s="4">
        <f t="shared" si="7"/>
        <v>-6.0167559375000002</v>
      </c>
      <c r="H17" s="4">
        <f t="shared" si="7"/>
        <v>-7.1471767500000007</v>
      </c>
      <c r="I17" s="4">
        <f t="shared" si="7"/>
        <v>-8.4426025359375014</v>
      </c>
      <c r="J17" s="4">
        <f t="shared" si="7"/>
        <v>-9.8497029585937508</v>
      </c>
      <c r="K17" s="4">
        <f t="shared" si="7"/>
        <v>-11.376406917175784</v>
      </c>
      <c r="L17" s="4">
        <f t="shared" si="7"/>
        <v>-13.031157014219534</v>
      </c>
      <c r="M17" s="4">
        <f t="shared" si="7"/>
        <v>-14.741496372335849</v>
      </c>
      <c r="N17" s="4">
        <f t="shared" si="7"/>
        <v>-16.504774805822429</v>
      </c>
      <c r="O17" s="4">
        <f t="shared" si="7"/>
        <v>-18.407527341726833</v>
      </c>
      <c r="P17" s="4">
        <f t="shared" si="7"/>
        <v>-20.459293194207117</v>
      </c>
      <c r="Q17" s="4">
        <f t="shared" si="7"/>
        <v>-22.67021681358111</v>
      </c>
      <c r="R17" s="4">
        <f t="shared" si="7"/>
        <v>-24.947138152936422</v>
      </c>
      <c r="S17" s="4">
        <f t="shared" si="7"/>
        <v>-27.285932354774218</v>
      </c>
      <c r="T17" s="4">
        <f t="shared" si="7"/>
        <v>-29.796238131413443</v>
      </c>
      <c r="U17" s="4">
        <f t="shared" si="7"/>
        <v>-32.248697731460553</v>
      </c>
      <c r="V17" s="4">
        <f t="shared" si="7"/>
        <v>-34.556043921761876</v>
      </c>
      <c r="W17" s="4">
        <f t="shared" si="7"/>
        <v>-36.615508330993038</v>
      </c>
      <c r="X17" s="4">
        <f t="shared" si="7"/>
        <v>-38.446283747542694</v>
      </c>
    </row>
    <row r="18" spans="1:24" x14ac:dyDescent="0.25">
      <c r="A18" t="s">
        <v>12</v>
      </c>
      <c r="C18" s="3">
        <f>940-77-359</f>
        <v>504</v>
      </c>
      <c r="D18" s="3">
        <v>580</v>
      </c>
      <c r="E18" s="39">
        <f>1015-300</f>
        <v>715</v>
      </c>
      <c r="F18" s="10">
        <f t="shared" ref="F18:X18" si="8">+E18*(1+F9)+F10</f>
        <v>825.02499999999998</v>
      </c>
      <c r="G18" s="10">
        <f t="shared" si="8"/>
        <v>938.90087499999993</v>
      </c>
      <c r="H18" s="10">
        <f t="shared" si="8"/>
        <v>1056.7624056249997</v>
      </c>
      <c r="I18" s="10">
        <f t="shared" si="8"/>
        <v>1178.7490898218746</v>
      </c>
      <c r="J18" s="10">
        <f t="shared" si="8"/>
        <v>1305.00530796564</v>
      </c>
      <c r="K18" s="10">
        <f t="shared" si="8"/>
        <v>1435.6804937444372</v>
      </c>
      <c r="L18" s="10">
        <f t="shared" si="8"/>
        <v>1570.9293110254923</v>
      </c>
      <c r="M18" s="10">
        <f t="shared" si="8"/>
        <v>1625.9118369113844</v>
      </c>
      <c r="N18" s="10">
        <f t="shared" si="8"/>
        <v>1682.8187512032828</v>
      </c>
      <c r="O18" s="10">
        <f t="shared" si="8"/>
        <v>1741.7174074953975</v>
      </c>
      <c r="P18" s="10">
        <f t="shared" si="8"/>
        <v>1802.6775167577364</v>
      </c>
      <c r="Q18" s="10">
        <f t="shared" si="8"/>
        <v>1865.771229844257</v>
      </c>
      <c r="R18" s="10">
        <f t="shared" si="8"/>
        <v>1931.073222888806</v>
      </c>
      <c r="S18" s="10">
        <f t="shared" si="8"/>
        <v>1998.6607856899141</v>
      </c>
      <c r="T18" s="10">
        <f t="shared" si="8"/>
        <v>2068.6139131890609</v>
      </c>
      <c r="U18" s="10">
        <f t="shared" si="8"/>
        <v>2141.015400150678</v>
      </c>
      <c r="V18" s="10">
        <f t="shared" si="8"/>
        <v>2215.9509391559518</v>
      </c>
      <c r="W18" s="10">
        <f t="shared" si="8"/>
        <v>2293.50922202641</v>
      </c>
      <c r="X18" s="10">
        <f t="shared" si="8"/>
        <v>2373.782044797334</v>
      </c>
    </row>
    <row r="19" spans="1:24" x14ac:dyDescent="0.25">
      <c r="A19" s="6" t="s">
        <v>43</v>
      </c>
      <c r="C19" s="13">
        <f>SUM(C14:C18)</f>
        <v>727</v>
      </c>
      <c r="D19" s="35">
        <f t="shared" ref="D19:X19" si="9">SUM(D14:D18)</f>
        <v>855</v>
      </c>
      <c r="E19" s="29">
        <f t="shared" si="9"/>
        <v>1013.175</v>
      </c>
      <c r="F19" s="13">
        <f t="shared" si="9"/>
        <v>1164.857575</v>
      </c>
      <c r="G19" s="13">
        <f t="shared" si="9"/>
        <v>1339.5447709374998</v>
      </c>
      <c r="H19" s="13">
        <f t="shared" si="9"/>
        <v>1531.8312938781246</v>
      </c>
      <c r="I19" s="13">
        <f t="shared" si="9"/>
        <v>1739.0850878766714</v>
      </c>
      <c r="J19" s="13">
        <f t="shared" si="9"/>
        <v>1957.9487455450189</v>
      </c>
      <c r="K19" s="13">
        <f t="shared" si="9"/>
        <v>2189.0926109528132</v>
      </c>
      <c r="L19" s="13">
        <f t="shared" si="9"/>
        <v>2433.2260001440591</v>
      </c>
      <c r="M19" s="13">
        <f t="shared" si="9"/>
        <v>2600.751252127724</v>
      </c>
      <c r="N19" s="13">
        <f t="shared" si="9"/>
        <v>2773.6852905887281</v>
      </c>
      <c r="O19" s="13">
        <f t="shared" si="9"/>
        <v>2957.7782181883404</v>
      </c>
      <c r="P19" s="13">
        <f t="shared" si="9"/>
        <v>3153.7264464640693</v>
      </c>
      <c r="Q19" s="13">
        <f t="shared" si="9"/>
        <v>3362.2685809045174</v>
      </c>
      <c r="R19" s="13">
        <f t="shared" si="9"/>
        <v>3577.3621008772934</v>
      </c>
      <c r="S19" s="13">
        <f t="shared" si="9"/>
        <v>3798.8137544738488</v>
      </c>
      <c r="T19" s="13">
        <f t="shared" si="9"/>
        <v>4033.9034806843529</v>
      </c>
      <c r="U19" s="13">
        <f t="shared" si="9"/>
        <v>4267.6532622727</v>
      </c>
      <c r="V19" s="13">
        <f t="shared" si="9"/>
        <v>4494.4186026625575</v>
      </c>
      <c r="W19" s="13">
        <f t="shared" si="9"/>
        <v>4707.5401090150772</v>
      </c>
      <c r="X19" s="13">
        <f t="shared" si="9"/>
        <v>4908.3702885366338</v>
      </c>
    </row>
    <row r="20" spans="1:24" x14ac:dyDescent="0.25">
      <c r="E20" s="21"/>
    </row>
    <row r="21" spans="1:24" x14ac:dyDescent="0.25">
      <c r="A21" s="7" t="s">
        <v>44</v>
      </c>
      <c r="E21" s="21"/>
    </row>
    <row r="22" spans="1:24" x14ac:dyDescent="0.25">
      <c r="A22" t="s">
        <v>40</v>
      </c>
      <c r="C22" s="8">
        <f>508-178+42</f>
        <v>372</v>
      </c>
      <c r="D22" s="8">
        <v>347</v>
      </c>
      <c r="E22" s="40">
        <f>589-219</f>
        <v>370</v>
      </c>
      <c r="F22" s="9">
        <f t="shared" ref="F22:X23" si="10">+E22*(1+F$9)</f>
        <v>382.95</v>
      </c>
      <c r="G22" s="9">
        <f t="shared" si="10"/>
        <v>396.35324999999995</v>
      </c>
      <c r="H22" s="9">
        <f t="shared" si="10"/>
        <v>410.22561374999992</v>
      </c>
      <c r="I22" s="9">
        <f t="shared" si="10"/>
        <v>424.58351023124987</v>
      </c>
      <c r="J22" s="9">
        <f t="shared" si="10"/>
        <v>439.4439330893436</v>
      </c>
      <c r="K22" s="9">
        <f t="shared" si="10"/>
        <v>454.82447074747057</v>
      </c>
      <c r="L22" s="9">
        <f t="shared" si="10"/>
        <v>470.74332722363198</v>
      </c>
      <c r="M22" s="9">
        <f t="shared" si="10"/>
        <v>487.21934367645906</v>
      </c>
      <c r="N22" s="9">
        <f t="shared" si="10"/>
        <v>504.27202070513511</v>
      </c>
      <c r="O22" s="9">
        <f t="shared" si="10"/>
        <v>521.92154142981474</v>
      </c>
      <c r="P22" s="9">
        <f t="shared" si="10"/>
        <v>540.18879537985822</v>
      </c>
      <c r="Q22" s="9">
        <f t="shared" si="10"/>
        <v>559.09540321815325</v>
      </c>
      <c r="R22" s="9">
        <f t="shared" si="10"/>
        <v>578.66374233078852</v>
      </c>
      <c r="S22" s="9">
        <f t="shared" si="10"/>
        <v>598.91697331236605</v>
      </c>
      <c r="T22" s="9">
        <f t="shared" si="10"/>
        <v>619.87906737829883</v>
      </c>
      <c r="U22" s="9">
        <f t="shared" si="10"/>
        <v>641.57483473653929</v>
      </c>
      <c r="V22" s="9">
        <f t="shared" si="10"/>
        <v>664.02995395231812</v>
      </c>
      <c r="W22" s="9">
        <f t="shared" si="10"/>
        <v>687.27100234064926</v>
      </c>
      <c r="X22" s="9">
        <f t="shared" si="10"/>
        <v>711.32548742257188</v>
      </c>
    </row>
    <row r="23" spans="1:24" x14ac:dyDescent="0.25">
      <c r="A23" t="s">
        <v>8</v>
      </c>
      <c r="C23" s="8">
        <v>772</v>
      </c>
      <c r="D23" s="8">
        <v>733</v>
      </c>
      <c r="E23" s="40">
        <f>829-82</f>
        <v>747</v>
      </c>
      <c r="F23" s="9">
        <f t="shared" si="10"/>
        <v>773.14499999999998</v>
      </c>
      <c r="G23" s="9">
        <f t="shared" si="10"/>
        <v>800.20507499999997</v>
      </c>
      <c r="H23" s="9">
        <f t="shared" si="10"/>
        <v>828.21225262499991</v>
      </c>
      <c r="I23" s="9">
        <f t="shared" si="10"/>
        <v>857.19968146687484</v>
      </c>
      <c r="J23" s="9">
        <f t="shared" si="10"/>
        <v>887.20167031821541</v>
      </c>
      <c r="K23" s="9">
        <f t="shared" si="10"/>
        <v>918.25372877935285</v>
      </c>
      <c r="L23" s="9">
        <f t="shared" si="10"/>
        <v>950.39260928663009</v>
      </c>
      <c r="M23" s="9">
        <f t="shared" si="10"/>
        <v>983.65635061166211</v>
      </c>
      <c r="N23" s="9">
        <f t="shared" si="10"/>
        <v>1018.0843228830702</v>
      </c>
      <c r="O23" s="9">
        <f t="shared" si="10"/>
        <v>1053.7172741839775</v>
      </c>
      <c r="P23" s="9">
        <f t="shared" si="10"/>
        <v>1090.5973787804166</v>
      </c>
      <c r="Q23" s="9">
        <f t="shared" si="10"/>
        <v>1128.7682870377312</v>
      </c>
      <c r="R23" s="9">
        <f t="shared" si="10"/>
        <v>1168.2751770840516</v>
      </c>
      <c r="S23" s="9">
        <f t="shared" si="10"/>
        <v>1209.1648082819934</v>
      </c>
      <c r="T23" s="9">
        <f t="shared" si="10"/>
        <v>1251.485576571863</v>
      </c>
      <c r="U23" s="9">
        <f t="shared" si="10"/>
        <v>1295.2875717518782</v>
      </c>
      <c r="V23" s="9">
        <f t="shared" si="10"/>
        <v>1340.6226367631939</v>
      </c>
      <c r="W23" s="9">
        <f t="shared" si="10"/>
        <v>1387.5444290499056</v>
      </c>
      <c r="X23" s="9">
        <f t="shared" si="10"/>
        <v>1436.1084840666522</v>
      </c>
    </row>
    <row r="24" spans="1:24" x14ac:dyDescent="0.25">
      <c r="A24" t="s">
        <v>30</v>
      </c>
      <c r="C24" s="8">
        <v>0</v>
      </c>
      <c r="D24" s="8">
        <v>0</v>
      </c>
      <c r="E24" s="40">
        <v>0</v>
      </c>
      <c r="F24" s="8">
        <v>50</v>
      </c>
      <c r="G24" s="9">
        <f t="shared" ref="G24:X24" si="11">+F24*(1+G9)</f>
        <v>51.749999999999993</v>
      </c>
      <c r="H24" s="9">
        <f t="shared" si="11"/>
        <v>53.561249999999987</v>
      </c>
      <c r="I24" s="9">
        <f t="shared" si="11"/>
        <v>55.435893749999984</v>
      </c>
      <c r="J24" s="9">
        <f t="shared" si="11"/>
        <v>57.376150031249978</v>
      </c>
      <c r="K24" s="9">
        <f t="shared" si="11"/>
        <v>59.384315282343721</v>
      </c>
      <c r="L24" s="9">
        <f t="shared" si="11"/>
        <v>61.462766317225743</v>
      </c>
      <c r="M24" s="9">
        <f t="shared" si="11"/>
        <v>63.613963138328636</v>
      </c>
      <c r="N24" s="9">
        <f t="shared" si="11"/>
        <v>65.840451848170133</v>
      </c>
      <c r="O24" s="9">
        <f t="shared" si="11"/>
        <v>68.144867662856086</v>
      </c>
      <c r="P24" s="9">
        <f t="shared" si="11"/>
        <v>70.529938031056048</v>
      </c>
      <c r="Q24" s="9">
        <f t="shared" si="11"/>
        <v>72.998485862142999</v>
      </c>
      <c r="R24" s="9">
        <f t="shared" si="11"/>
        <v>75.553432867317994</v>
      </c>
      <c r="S24" s="9">
        <f t="shared" si="11"/>
        <v>78.197803017674119</v>
      </c>
      <c r="T24" s="9">
        <f t="shared" si="11"/>
        <v>80.934726123292705</v>
      </c>
      <c r="U24" s="9">
        <f t="shared" si="11"/>
        <v>83.767441537607937</v>
      </c>
      <c r="V24" s="9">
        <f t="shared" si="11"/>
        <v>86.699301991424207</v>
      </c>
      <c r="W24" s="9">
        <f t="shared" si="11"/>
        <v>89.733777561124043</v>
      </c>
      <c r="X24" s="9">
        <f t="shared" si="11"/>
        <v>92.874459775763384</v>
      </c>
    </row>
    <row r="25" spans="1:24" x14ac:dyDescent="0.25">
      <c r="A25" t="s">
        <v>9</v>
      </c>
      <c r="C25" s="8">
        <f>116+42-47</f>
        <v>111</v>
      </c>
      <c r="D25" s="8">
        <v>81</v>
      </c>
      <c r="E25" s="40">
        <f>152-58</f>
        <v>94</v>
      </c>
      <c r="F25" s="9">
        <f t="shared" ref="F25:X25" si="12">+E25*(1+F$9)*1.02</f>
        <v>99.235799999999998</v>
      </c>
      <c r="G25" s="9">
        <f t="shared" si="12"/>
        <v>104.76323405999999</v>
      </c>
      <c r="H25" s="9">
        <f t="shared" si="12"/>
        <v>110.59854619714199</v>
      </c>
      <c r="I25" s="9">
        <f t="shared" si="12"/>
        <v>116.7588852203228</v>
      </c>
      <c r="J25" s="9">
        <f t="shared" si="12"/>
        <v>123.26235512709476</v>
      </c>
      <c r="K25" s="9">
        <f t="shared" si="12"/>
        <v>130.12806830767394</v>
      </c>
      <c r="L25" s="9">
        <f t="shared" si="12"/>
        <v>137.37620171241139</v>
      </c>
      <c r="M25" s="9">
        <f t="shared" si="12"/>
        <v>145.02805614779268</v>
      </c>
      <c r="N25" s="9">
        <f t="shared" si="12"/>
        <v>153.10611887522472</v>
      </c>
      <c r="O25" s="9">
        <f t="shared" si="12"/>
        <v>161.63412969657472</v>
      </c>
      <c r="P25" s="9">
        <f t="shared" si="12"/>
        <v>170.63715072067393</v>
      </c>
      <c r="Q25" s="9">
        <f t="shared" si="12"/>
        <v>180.14164001581545</v>
      </c>
      <c r="R25" s="9">
        <f t="shared" si="12"/>
        <v>190.17552936469636</v>
      </c>
      <c r="S25" s="9">
        <f t="shared" si="12"/>
        <v>200.76830635030993</v>
      </c>
      <c r="T25" s="9">
        <f t="shared" si="12"/>
        <v>211.95110101402219</v>
      </c>
      <c r="U25" s="9">
        <f t="shared" si="12"/>
        <v>223.75677734050319</v>
      </c>
      <c r="V25" s="9">
        <f t="shared" si="12"/>
        <v>236.22002983836919</v>
      </c>
      <c r="W25" s="9">
        <f t="shared" si="12"/>
        <v>249.37748550036633</v>
      </c>
      <c r="X25" s="9">
        <f t="shared" si="12"/>
        <v>263.26781144273673</v>
      </c>
    </row>
    <row r="26" spans="1:24" x14ac:dyDescent="0.25">
      <c r="A26" t="s">
        <v>10</v>
      </c>
      <c r="C26" s="8">
        <v>22</v>
      </c>
      <c r="D26" s="8">
        <v>14</v>
      </c>
      <c r="E26" s="30">
        <f>226-202</f>
        <v>24</v>
      </c>
      <c r="F26" s="8">
        <v>10</v>
      </c>
      <c r="G26" s="8">
        <v>5</v>
      </c>
      <c r="H26" s="8">
        <v>0</v>
      </c>
      <c r="I26" s="8">
        <v>0</v>
      </c>
      <c r="J26" s="8">
        <v>0</v>
      </c>
      <c r="K26" s="8">
        <v>0</v>
      </c>
      <c r="L26" s="8">
        <v>0</v>
      </c>
      <c r="M26" s="8">
        <v>0</v>
      </c>
      <c r="N26" s="8">
        <v>0</v>
      </c>
      <c r="O26" s="8">
        <v>0</v>
      </c>
      <c r="P26" s="8">
        <v>0</v>
      </c>
      <c r="Q26" s="8">
        <v>0</v>
      </c>
      <c r="R26" s="8">
        <v>0</v>
      </c>
      <c r="S26" s="8">
        <v>0</v>
      </c>
      <c r="T26" s="8">
        <v>0</v>
      </c>
      <c r="U26" s="8">
        <v>0</v>
      </c>
      <c r="V26" s="8">
        <v>0</v>
      </c>
      <c r="W26" s="8">
        <v>0</v>
      </c>
      <c r="X26" s="8">
        <v>0</v>
      </c>
    </row>
    <row r="27" spans="1:24" x14ac:dyDescent="0.25">
      <c r="A27" t="s">
        <v>11</v>
      </c>
      <c r="C27" s="8">
        <f>15-9</f>
        <v>6</v>
      </c>
      <c r="D27" s="8">
        <v>4</v>
      </c>
      <c r="E27" s="40">
        <f>29-9-7</f>
        <v>13</v>
      </c>
      <c r="F27" s="9">
        <f t="shared" ref="F27:U27" si="13">+E27*(1+F$9)</f>
        <v>13.454999999999998</v>
      </c>
      <c r="G27" s="9">
        <f t="shared" si="13"/>
        <v>13.925924999999998</v>
      </c>
      <c r="H27" s="9">
        <f t="shared" si="13"/>
        <v>14.413332374999996</v>
      </c>
      <c r="I27" s="9">
        <f t="shared" si="13"/>
        <v>14.917799008124994</v>
      </c>
      <c r="J27" s="9">
        <f t="shared" si="13"/>
        <v>15.439921973409367</v>
      </c>
      <c r="K27" s="9">
        <f t="shared" si="13"/>
        <v>15.980319242478695</v>
      </c>
      <c r="L27" s="9">
        <f t="shared" si="13"/>
        <v>16.539630415965448</v>
      </c>
      <c r="M27" s="9">
        <f t="shared" si="13"/>
        <v>17.118517480524236</v>
      </c>
      <c r="N27" s="9">
        <f t="shared" si="13"/>
        <v>17.717665592342584</v>
      </c>
      <c r="O27" s="9">
        <f t="shared" si="13"/>
        <v>18.337783888074572</v>
      </c>
      <c r="P27" s="9">
        <f t="shared" si="13"/>
        <v>18.979606324157182</v>
      </c>
      <c r="Q27" s="9">
        <f t="shared" si="13"/>
        <v>19.64389254550268</v>
      </c>
      <c r="R27" s="9">
        <f t="shared" si="13"/>
        <v>20.331428784595271</v>
      </c>
      <c r="S27" s="9">
        <f t="shared" si="13"/>
        <v>21.043028792056106</v>
      </c>
      <c r="T27" s="9">
        <f t="shared" si="13"/>
        <v>21.779534799778066</v>
      </c>
      <c r="U27" s="9">
        <f t="shared" si="13"/>
        <v>22.541818517770295</v>
      </c>
      <c r="V27" s="9">
        <f t="shared" ref="U27:X29" si="14">+U27*(1+V$9)</f>
        <v>23.330782165892252</v>
      </c>
      <c r="W27" s="9">
        <f t="shared" si="14"/>
        <v>24.147359541698478</v>
      </c>
      <c r="X27" s="9">
        <f t="shared" si="14"/>
        <v>24.992517125657923</v>
      </c>
    </row>
    <row r="28" spans="1:24" x14ac:dyDescent="0.25">
      <c r="A28" t="s">
        <v>13</v>
      </c>
      <c r="C28" s="8">
        <v>32</v>
      </c>
      <c r="D28" s="8">
        <v>29</v>
      </c>
      <c r="E28" s="40">
        <v>31</v>
      </c>
      <c r="F28" s="9">
        <f t="shared" ref="F28:T29" si="15">+E28*(1+F$9)</f>
        <v>32.085000000000001</v>
      </c>
      <c r="G28" s="9">
        <f t="shared" si="15"/>
        <v>33.207974999999998</v>
      </c>
      <c r="H28" s="9">
        <f t="shared" si="15"/>
        <v>34.370254124999995</v>
      </c>
      <c r="I28" s="9">
        <f t="shared" si="15"/>
        <v>35.57321301937499</v>
      </c>
      <c r="J28" s="9">
        <f t="shared" si="15"/>
        <v>36.818275475053113</v>
      </c>
      <c r="K28" s="9">
        <f t="shared" si="15"/>
        <v>38.106915116679971</v>
      </c>
      <c r="L28" s="9">
        <f t="shared" si="15"/>
        <v>39.440657145763765</v>
      </c>
      <c r="M28" s="9">
        <f t="shared" si="15"/>
        <v>40.821080145865494</v>
      </c>
      <c r="N28" s="9">
        <f t="shared" si="15"/>
        <v>42.249817950970787</v>
      </c>
      <c r="O28" s="9">
        <f t="shared" si="15"/>
        <v>43.728561579254759</v>
      </c>
      <c r="P28" s="9">
        <f t="shared" si="15"/>
        <v>45.259061234528673</v>
      </c>
      <c r="Q28" s="9">
        <f t="shared" si="15"/>
        <v>46.843128377737173</v>
      </c>
      <c r="R28" s="9">
        <f t="shared" si="15"/>
        <v>48.482637870957973</v>
      </c>
      <c r="S28" s="9">
        <f t="shared" si="15"/>
        <v>50.179530196441497</v>
      </c>
      <c r="T28" s="9">
        <f t="shared" si="15"/>
        <v>51.935813753316943</v>
      </c>
      <c r="U28" s="9">
        <f t="shared" si="14"/>
        <v>53.753567234683032</v>
      </c>
      <c r="V28" s="9">
        <f t="shared" si="14"/>
        <v>55.634942087896931</v>
      </c>
      <c r="W28" s="9">
        <f t="shared" si="14"/>
        <v>57.582165060973317</v>
      </c>
      <c r="X28" s="9">
        <f t="shared" si="14"/>
        <v>59.597540838107378</v>
      </c>
    </row>
    <row r="29" spans="1:24" x14ac:dyDescent="0.25">
      <c r="A29" t="s">
        <v>14</v>
      </c>
      <c r="C29" s="8">
        <v>42</v>
      </c>
      <c r="D29" s="8">
        <v>46</v>
      </c>
      <c r="E29" s="40">
        <v>47</v>
      </c>
      <c r="F29" s="9">
        <f t="shared" si="15"/>
        <v>48.644999999999996</v>
      </c>
      <c r="G29" s="9">
        <f t="shared" si="15"/>
        <v>50.347574999999992</v>
      </c>
      <c r="H29" s="9">
        <f t="shared" si="15"/>
        <v>52.109740124999988</v>
      </c>
      <c r="I29" s="9">
        <f t="shared" si="15"/>
        <v>53.933581029374984</v>
      </c>
      <c r="J29" s="9">
        <f t="shared" si="15"/>
        <v>55.821256365403102</v>
      </c>
      <c r="K29" s="9">
        <f t="shared" si="15"/>
        <v>57.775000338192207</v>
      </c>
      <c r="L29" s="9">
        <f t="shared" si="15"/>
        <v>59.797125350028928</v>
      </c>
      <c r="M29" s="9">
        <f t="shared" si="15"/>
        <v>61.890024737279937</v>
      </c>
      <c r="N29" s="9">
        <f t="shared" si="15"/>
        <v>64.056175603084725</v>
      </c>
      <c r="O29" s="9">
        <f t="shared" si="15"/>
        <v>66.298141749192681</v>
      </c>
      <c r="P29" s="9">
        <f t="shared" si="15"/>
        <v>68.618576710414416</v>
      </c>
      <c r="Q29" s="9">
        <f t="shared" si="15"/>
        <v>71.02022689527891</v>
      </c>
      <c r="R29" s="9">
        <f t="shared" si="15"/>
        <v>73.505934836613662</v>
      </c>
      <c r="S29" s="9">
        <f t="shared" si="15"/>
        <v>76.078642555895129</v>
      </c>
      <c r="T29" s="9">
        <f t="shared" si="15"/>
        <v>78.741395045351453</v>
      </c>
      <c r="U29" s="9">
        <f t="shared" si="14"/>
        <v>81.497343871938753</v>
      </c>
      <c r="V29" s="9">
        <f t="shared" si="14"/>
        <v>84.34975090745661</v>
      </c>
      <c r="W29" s="9">
        <f t="shared" si="14"/>
        <v>87.301992189217586</v>
      </c>
      <c r="X29" s="9">
        <f t="shared" si="14"/>
        <v>90.357561915840193</v>
      </c>
    </row>
    <row r="30" spans="1:24" x14ac:dyDescent="0.25">
      <c r="A30" t="s">
        <v>23</v>
      </c>
      <c r="C30" s="8">
        <v>5</v>
      </c>
      <c r="D30" s="8">
        <v>3</v>
      </c>
      <c r="E30" s="41">
        <v>15</v>
      </c>
      <c r="F30" s="15">
        <v>0</v>
      </c>
      <c r="G30" s="15">
        <v>0</v>
      </c>
      <c r="H30" s="15">
        <v>0</v>
      </c>
      <c r="I30" s="15">
        <v>0</v>
      </c>
      <c r="J30" s="15">
        <v>0</v>
      </c>
      <c r="K30" s="15">
        <v>0</v>
      </c>
      <c r="L30" s="15">
        <v>0</v>
      </c>
      <c r="M30" s="15">
        <v>0</v>
      </c>
      <c r="N30" s="15">
        <v>0</v>
      </c>
      <c r="O30" s="15">
        <v>0</v>
      </c>
      <c r="P30" s="15">
        <v>0</v>
      </c>
      <c r="Q30" s="15">
        <v>0</v>
      </c>
      <c r="R30" s="15">
        <v>0</v>
      </c>
      <c r="S30" s="15">
        <v>0</v>
      </c>
      <c r="T30" s="15">
        <v>0</v>
      </c>
      <c r="U30" s="15">
        <v>0</v>
      </c>
      <c r="V30" s="15">
        <v>0</v>
      </c>
      <c r="W30" s="15">
        <v>0</v>
      </c>
      <c r="X30" s="15">
        <v>0</v>
      </c>
    </row>
    <row r="31" spans="1:24" s="6" customFormat="1" x14ac:dyDescent="0.25">
      <c r="A31" s="6" t="s">
        <v>45</v>
      </c>
      <c r="C31" s="12">
        <f>SUM(C22:C30)</f>
        <v>1362</v>
      </c>
      <c r="D31" s="12">
        <f>SUM(D22:D30)</f>
        <v>1257</v>
      </c>
      <c r="E31" s="31">
        <f t="shared" ref="E31:X31" si="16">SUM(E22:E30)</f>
        <v>1341</v>
      </c>
      <c r="F31" s="12">
        <f t="shared" si="16"/>
        <v>1409.5157999999999</v>
      </c>
      <c r="G31" s="12">
        <f t="shared" si="16"/>
        <v>1455.5530340600001</v>
      </c>
      <c r="H31" s="12">
        <f t="shared" si="16"/>
        <v>1503.4909891971417</v>
      </c>
      <c r="I31" s="12">
        <f t="shared" si="16"/>
        <v>1558.4025637253226</v>
      </c>
      <c r="J31" s="12">
        <f t="shared" si="16"/>
        <v>1615.3635623797693</v>
      </c>
      <c r="K31" s="12">
        <f t="shared" si="16"/>
        <v>1674.4528178141923</v>
      </c>
      <c r="L31" s="12">
        <f t="shared" si="16"/>
        <v>1735.7523174516571</v>
      </c>
      <c r="M31" s="12">
        <f t="shared" si="16"/>
        <v>1799.3473359379122</v>
      </c>
      <c r="N31" s="12">
        <f t="shared" si="16"/>
        <v>1865.3265734579982</v>
      </c>
      <c r="O31" s="12">
        <f t="shared" si="16"/>
        <v>1933.7823001897452</v>
      </c>
      <c r="P31" s="12">
        <f t="shared" si="16"/>
        <v>2004.8105071811049</v>
      </c>
      <c r="Q31" s="12">
        <f t="shared" si="16"/>
        <v>2078.5110639523618</v>
      </c>
      <c r="R31" s="12">
        <f t="shared" si="16"/>
        <v>2154.9878831390215</v>
      </c>
      <c r="S31" s="12">
        <f t="shared" si="16"/>
        <v>2234.3490925067363</v>
      </c>
      <c r="T31" s="12">
        <f t="shared" si="16"/>
        <v>2316.7072146859227</v>
      </c>
      <c r="U31" s="12">
        <f t="shared" si="16"/>
        <v>2402.1793549909212</v>
      </c>
      <c r="V31" s="12">
        <f t="shared" si="16"/>
        <v>2490.8873977065514</v>
      </c>
      <c r="W31" s="12">
        <f t="shared" si="16"/>
        <v>2582.9582112439343</v>
      </c>
      <c r="X31" s="12">
        <f t="shared" si="16"/>
        <v>2678.5238625873289</v>
      </c>
    </row>
    <row r="32" spans="1:24" ht="8.25" customHeight="1" x14ac:dyDescent="0.25">
      <c r="E32" s="21"/>
    </row>
    <row r="33" spans="1:24" x14ac:dyDescent="0.25">
      <c r="A33" t="s">
        <v>18</v>
      </c>
      <c r="C33" s="8">
        <v>178</v>
      </c>
      <c r="D33" s="8">
        <v>207</v>
      </c>
      <c r="E33" s="24">
        <v>219</v>
      </c>
      <c r="F33" s="4">
        <f t="shared" ref="F33:X33" si="17">MAX((E42+(F31-F19)/2)*F11,0)</f>
        <v>269.82693506249996</v>
      </c>
      <c r="G33" s="4">
        <f t="shared" si="17"/>
        <v>322.31571458118748</v>
      </c>
      <c r="H33" s="4">
        <f t="shared" si="17"/>
        <v>408.7478391255417</v>
      </c>
      <c r="I33" s="4">
        <f t="shared" si="17"/>
        <v>427.00202460810431</v>
      </c>
      <c r="J33" s="4">
        <f t="shared" si="17"/>
        <v>436.92411486509269</v>
      </c>
      <c r="K33" s="4">
        <f t="shared" si="17"/>
        <v>437.42281246788218</v>
      </c>
      <c r="L33" s="4">
        <f t="shared" si="17"/>
        <v>427.30477694102439</v>
      </c>
      <c r="M33" s="4">
        <f t="shared" si="17"/>
        <v>407.97673559101946</v>
      </c>
      <c r="N33" s="4">
        <f t="shared" si="17"/>
        <v>381.16246072686437</v>
      </c>
      <c r="O33" s="4">
        <f t="shared" si="17"/>
        <v>346.06156931659649</v>
      </c>
      <c r="P33" s="4">
        <f t="shared" si="17"/>
        <v>301.63790775714551</v>
      </c>
      <c r="Q33" s="4">
        <f t="shared" si="17"/>
        <v>246.75597853552065</v>
      </c>
      <c r="R33" s="4">
        <f t="shared" si="17"/>
        <v>180.37738520693907</v>
      </c>
      <c r="S33" s="4">
        <f t="shared" si="17"/>
        <v>101.59486192819386</v>
      </c>
      <c r="T33" s="4">
        <f t="shared" si="17"/>
        <v>9.2407258049192205</v>
      </c>
      <c r="U33" s="4">
        <f t="shared" si="17"/>
        <v>0</v>
      </c>
      <c r="V33" s="4">
        <f t="shared" si="17"/>
        <v>0</v>
      </c>
      <c r="W33" s="4">
        <f t="shared" si="17"/>
        <v>0</v>
      </c>
      <c r="X33" s="4">
        <f t="shared" si="17"/>
        <v>0</v>
      </c>
    </row>
    <row r="34" spans="1:24" s="6" customFormat="1" x14ac:dyDescent="0.25">
      <c r="A34" s="6" t="s">
        <v>46</v>
      </c>
      <c r="C34" s="12">
        <f>+C31+C33</f>
        <v>1540</v>
      </c>
      <c r="D34" s="12">
        <f t="shared" ref="D34:X34" si="18">+D31+D33</f>
        <v>1464</v>
      </c>
      <c r="E34" s="31">
        <f t="shared" si="18"/>
        <v>1560</v>
      </c>
      <c r="F34" s="12">
        <f t="shared" si="18"/>
        <v>1679.3427350624997</v>
      </c>
      <c r="G34" s="12">
        <f t="shared" si="18"/>
        <v>1777.8687486411875</v>
      </c>
      <c r="H34" s="12">
        <f t="shared" si="18"/>
        <v>1912.2388283226835</v>
      </c>
      <c r="I34" s="12">
        <f t="shared" si="18"/>
        <v>1985.404588333427</v>
      </c>
      <c r="J34" s="12">
        <f t="shared" si="18"/>
        <v>2052.2876772448622</v>
      </c>
      <c r="K34" s="12">
        <f t="shared" si="18"/>
        <v>2111.8756302820743</v>
      </c>
      <c r="L34" s="12">
        <f t="shared" si="18"/>
        <v>2163.0570943926814</v>
      </c>
      <c r="M34" s="12">
        <f t="shared" si="18"/>
        <v>2207.3240715289317</v>
      </c>
      <c r="N34" s="12">
        <f t="shared" si="18"/>
        <v>2246.4890341848627</v>
      </c>
      <c r="O34" s="12">
        <f t="shared" si="18"/>
        <v>2279.8438695063419</v>
      </c>
      <c r="P34" s="12">
        <f t="shared" si="18"/>
        <v>2306.4484149382506</v>
      </c>
      <c r="Q34" s="12">
        <f t="shared" si="18"/>
        <v>2325.2670424878825</v>
      </c>
      <c r="R34" s="12">
        <f t="shared" si="18"/>
        <v>2335.3652683459604</v>
      </c>
      <c r="S34" s="12">
        <f t="shared" si="18"/>
        <v>2335.9439544349302</v>
      </c>
      <c r="T34" s="12">
        <f t="shared" si="18"/>
        <v>2325.947940490842</v>
      </c>
      <c r="U34" s="12">
        <f t="shared" si="18"/>
        <v>2402.1793549909212</v>
      </c>
      <c r="V34" s="12">
        <f t="shared" si="18"/>
        <v>2490.8873977065514</v>
      </c>
      <c r="W34" s="12">
        <f t="shared" si="18"/>
        <v>2582.9582112439343</v>
      </c>
      <c r="X34" s="12">
        <f t="shared" si="18"/>
        <v>2678.5238625873289</v>
      </c>
    </row>
    <row r="35" spans="1:24" ht="8.25" customHeight="1" x14ac:dyDescent="0.25">
      <c r="E35" s="21"/>
    </row>
    <row r="36" spans="1:24" ht="14.25" customHeight="1" x14ac:dyDescent="0.25">
      <c r="A36" s="42" t="s">
        <v>47</v>
      </c>
      <c r="C36">
        <v>21</v>
      </c>
      <c r="D36">
        <v>0</v>
      </c>
      <c r="E36" s="21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</row>
    <row r="37" spans="1:24" x14ac:dyDescent="0.25">
      <c r="A37" t="s">
        <v>42</v>
      </c>
      <c r="C37">
        <f>10+15+2+13-11</f>
        <v>29</v>
      </c>
      <c r="D37">
        <v>26</v>
      </c>
      <c r="E37" s="21">
        <v>-9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</row>
    <row r="38" spans="1:24" ht="7.5" customHeight="1" x14ac:dyDescent="0.25">
      <c r="E38" s="21"/>
    </row>
    <row r="39" spans="1:24" x14ac:dyDescent="0.25">
      <c r="A39" s="6" t="s">
        <v>20</v>
      </c>
      <c r="C39" s="11">
        <f t="shared" ref="C39:X39" si="19">+C19-C34+C36+C37</f>
        <v>-763</v>
      </c>
      <c r="D39" s="11">
        <f t="shared" si="19"/>
        <v>-583</v>
      </c>
      <c r="E39" s="23">
        <f t="shared" si="19"/>
        <v>-555.82500000000005</v>
      </c>
      <c r="F39" s="11">
        <f t="shared" si="19"/>
        <v>-514.48516006249974</v>
      </c>
      <c r="G39" s="11">
        <f t="shared" si="19"/>
        <v>-438.32397770368766</v>
      </c>
      <c r="H39" s="11">
        <f t="shared" si="19"/>
        <v>-380.40753444455891</v>
      </c>
      <c r="I39" s="11">
        <f t="shared" si="19"/>
        <v>-246.31950045675558</v>
      </c>
      <c r="J39" s="11">
        <f t="shared" si="19"/>
        <v>-94.338931699843215</v>
      </c>
      <c r="K39" s="11">
        <f t="shared" si="19"/>
        <v>77.216980670738849</v>
      </c>
      <c r="L39" s="11">
        <f t="shared" si="19"/>
        <v>270.16890575137768</v>
      </c>
      <c r="M39" s="11">
        <f t="shared" si="19"/>
        <v>393.42718059879235</v>
      </c>
      <c r="N39" s="11">
        <f t="shared" si="19"/>
        <v>527.19625640386539</v>
      </c>
      <c r="O39" s="11">
        <f t="shared" si="19"/>
        <v>677.93434868199847</v>
      </c>
      <c r="P39" s="11">
        <f t="shared" si="19"/>
        <v>847.27803152581873</v>
      </c>
      <c r="Q39" s="11">
        <f t="shared" si="19"/>
        <v>1037.001538416635</v>
      </c>
      <c r="R39" s="11">
        <f t="shared" si="19"/>
        <v>1241.996832531333</v>
      </c>
      <c r="S39" s="11">
        <f t="shared" si="19"/>
        <v>1462.8698000389186</v>
      </c>
      <c r="T39" s="11">
        <f t="shared" si="19"/>
        <v>1707.9555401935108</v>
      </c>
      <c r="U39" s="11">
        <f t="shared" si="19"/>
        <v>1865.4739072817788</v>
      </c>
      <c r="V39" s="11">
        <f t="shared" si="19"/>
        <v>2003.5312049560061</v>
      </c>
      <c r="W39" s="11">
        <f t="shared" si="19"/>
        <v>2124.5818977711428</v>
      </c>
      <c r="X39" s="11">
        <f t="shared" si="19"/>
        <v>2229.8464259493048</v>
      </c>
    </row>
    <row r="40" spans="1:24" x14ac:dyDescent="0.25">
      <c r="A40" t="s">
        <v>38</v>
      </c>
      <c r="C40" s="4">
        <f t="shared" ref="C40:X40" si="20">+C39+C33</f>
        <v>-585</v>
      </c>
      <c r="D40" s="4">
        <f t="shared" si="20"/>
        <v>-376</v>
      </c>
      <c r="E40" s="24">
        <f t="shared" si="20"/>
        <v>-336.82500000000005</v>
      </c>
      <c r="F40" s="4">
        <f t="shared" si="20"/>
        <v>-244.65822499999979</v>
      </c>
      <c r="G40" s="4">
        <f t="shared" si="20"/>
        <v>-116.00826312250018</v>
      </c>
      <c r="H40" s="4">
        <f t="shared" si="20"/>
        <v>28.340304680982797</v>
      </c>
      <c r="I40" s="4">
        <f t="shared" si="20"/>
        <v>180.68252415134873</v>
      </c>
      <c r="J40" s="4">
        <f t="shared" si="20"/>
        <v>342.58518316524948</v>
      </c>
      <c r="K40" s="4">
        <f t="shared" si="20"/>
        <v>514.63979313862103</v>
      </c>
      <c r="L40" s="4">
        <f t="shared" si="20"/>
        <v>697.47368269240201</v>
      </c>
      <c r="M40" s="4">
        <f t="shared" si="20"/>
        <v>801.40391618981175</v>
      </c>
      <c r="N40" s="4">
        <f t="shared" si="20"/>
        <v>908.3587171307297</v>
      </c>
      <c r="O40" s="4">
        <f t="shared" si="20"/>
        <v>1023.9959179985949</v>
      </c>
      <c r="P40" s="4">
        <f t="shared" si="20"/>
        <v>1148.9159392829642</v>
      </c>
      <c r="Q40" s="4">
        <f t="shared" si="20"/>
        <v>1283.7575169521556</v>
      </c>
      <c r="R40" s="4">
        <f t="shared" si="20"/>
        <v>1422.3742177382721</v>
      </c>
      <c r="S40" s="4">
        <f t="shared" si="20"/>
        <v>1564.4646619671125</v>
      </c>
      <c r="T40" s="4">
        <f t="shared" si="20"/>
        <v>1717.1962659984301</v>
      </c>
      <c r="U40" s="4">
        <f t="shared" si="20"/>
        <v>1865.4739072817788</v>
      </c>
      <c r="V40" s="4">
        <f t="shared" si="20"/>
        <v>2003.5312049560061</v>
      </c>
      <c r="W40" s="4">
        <f t="shared" si="20"/>
        <v>2124.5818977711428</v>
      </c>
      <c r="X40" s="4">
        <f t="shared" si="20"/>
        <v>2229.8464259493048</v>
      </c>
    </row>
    <row r="41" spans="1:24" ht="9" customHeight="1" x14ac:dyDescent="0.25">
      <c r="E41" s="21"/>
    </row>
    <row r="42" spans="1:24" x14ac:dyDescent="0.25">
      <c r="A42" s="21" t="s">
        <v>26</v>
      </c>
      <c r="B42" s="21"/>
      <c r="C42" s="22">
        <v>4735</v>
      </c>
      <c r="D42" s="23">
        <f>MAX(0,+C42-D39)</f>
        <v>5318</v>
      </c>
      <c r="E42" s="23">
        <f t="shared" ref="E42:X42" si="21">MAX(0,+D42-E39)</f>
        <v>5873.8249999999998</v>
      </c>
      <c r="F42" s="23">
        <f t="shared" si="21"/>
        <v>6388.3101600624996</v>
      </c>
      <c r="G42" s="23">
        <f t="shared" si="21"/>
        <v>6826.6341377661875</v>
      </c>
      <c r="H42" s="23">
        <f t="shared" si="21"/>
        <v>7207.0416722107466</v>
      </c>
      <c r="I42" s="23">
        <f t="shared" si="21"/>
        <v>7453.3611726675026</v>
      </c>
      <c r="J42" s="23">
        <f t="shared" si="21"/>
        <v>7547.7001043673463</v>
      </c>
      <c r="K42" s="23">
        <f t="shared" si="21"/>
        <v>7470.4831236966074</v>
      </c>
      <c r="L42" s="23">
        <f t="shared" si="21"/>
        <v>7200.3142179452298</v>
      </c>
      <c r="M42" s="23">
        <f t="shared" si="21"/>
        <v>6806.8870373464379</v>
      </c>
      <c r="N42" s="23">
        <f t="shared" si="21"/>
        <v>6279.690780942572</v>
      </c>
      <c r="O42" s="23">
        <f t="shared" si="21"/>
        <v>5601.756432260574</v>
      </c>
      <c r="P42" s="23">
        <f t="shared" si="21"/>
        <v>4754.4784007347553</v>
      </c>
      <c r="Q42" s="23">
        <f t="shared" si="21"/>
        <v>3717.4768623181203</v>
      </c>
      <c r="R42" s="23">
        <f t="shared" si="21"/>
        <v>2475.4800297867873</v>
      </c>
      <c r="S42" s="23">
        <f t="shared" si="21"/>
        <v>1012.6102297478687</v>
      </c>
      <c r="T42" s="23">
        <f t="shared" si="21"/>
        <v>0</v>
      </c>
      <c r="U42" s="23">
        <f t="shared" si="21"/>
        <v>0</v>
      </c>
      <c r="V42" s="23">
        <f t="shared" si="21"/>
        <v>0</v>
      </c>
      <c r="W42" s="23">
        <f t="shared" si="21"/>
        <v>0</v>
      </c>
      <c r="X42" s="23">
        <f t="shared" si="21"/>
        <v>0</v>
      </c>
    </row>
    <row r="43" spans="1:24" x14ac:dyDescent="0.25">
      <c r="A43" s="21" t="s">
        <v>27</v>
      </c>
      <c r="B43" s="21"/>
      <c r="C43" s="22">
        <v>4722</v>
      </c>
      <c r="D43" s="22">
        <v>4731</v>
      </c>
      <c r="E43" s="24">
        <f t="shared" ref="E43:X43" si="22">IF(E42&gt;0,D43+E44,MAX(0,D43+E44-(E39-(D42-E42))))</f>
        <v>4838</v>
      </c>
      <c r="F43" s="24">
        <f t="shared" si="22"/>
        <v>4838</v>
      </c>
      <c r="G43" s="24">
        <f t="shared" si="22"/>
        <v>5438</v>
      </c>
      <c r="H43" s="24">
        <f t="shared" si="22"/>
        <v>6138</v>
      </c>
      <c r="I43" s="24">
        <f t="shared" si="22"/>
        <v>6838</v>
      </c>
      <c r="J43" s="24">
        <f t="shared" si="22"/>
        <v>7509</v>
      </c>
      <c r="K43" s="24">
        <f t="shared" si="22"/>
        <v>7509</v>
      </c>
      <c r="L43" s="24">
        <f t="shared" si="22"/>
        <v>7509</v>
      </c>
      <c r="M43" s="24">
        <f t="shared" si="22"/>
        <v>7509</v>
      </c>
      <c r="N43" s="24">
        <f t="shared" si="22"/>
        <v>7509</v>
      </c>
      <c r="O43" s="24">
        <f t="shared" si="22"/>
        <v>7509</v>
      </c>
      <c r="P43" s="24">
        <f t="shared" si="22"/>
        <v>7509</v>
      </c>
      <c r="Q43" s="24">
        <f t="shared" si="22"/>
        <v>7509</v>
      </c>
      <c r="R43" s="24">
        <f t="shared" si="22"/>
        <v>7509</v>
      </c>
      <c r="S43" s="24">
        <f t="shared" si="22"/>
        <v>7509</v>
      </c>
      <c r="T43" s="24">
        <f t="shared" si="22"/>
        <v>6813.6546895543579</v>
      </c>
      <c r="U43" s="24">
        <f t="shared" si="22"/>
        <v>4948.1807822725787</v>
      </c>
      <c r="V43" s="24">
        <f t="shared" si="22"/>
        <v>2944.6495773165725</v>
      </c>
      <c r="W43" s="24">
        <f t="shared" si="22"/>
        <v>820.06767954542966</v>
      </c>
      <c r="X43" s="24">
        <f t="shared" si="22"/>
        <v>0</v>
      </c>
    </row>
    <row r="44" spans="1:24" x14ac:dyDescent="0.25">
      <c r="A44" t="s">
        <v>31</v>
      </c>
      <c r="E44" s="21">
        <v>107</v>
      </c>
      <c r="G44">
        <f>IF(SUM($D44:F44)&lt;(7500-$C43),IF((10000*G6/1000+SUM($D44:F44))&lt;(7500-$C43),10000*G6/1000,7500-$C43-SUM($D44:F44)),0)</f>
        <v>600</v>
      </c>
      <c r="H44">
        <f>IF(SUM($D44:G44)&lt;(7500-$C43),IF((10000*H6/1000+SUM($D44:G44))&lt;(7500-$C43),10000*H6/1000,7500-$C43-SUM($D44:G44)),0)</f>
        <v>700</v>
      </c>
      <c r="I44">
        <f>IF(SUM($D44:H44)&lt;(7500-$C43),IF((10000*I6/1000+SUM($D44:H44))&lt;(7500-$C43),10000*I6/1000,7500-$C43-SUM($D44:H44)),0)</f>
        <v>700</v>
      </c>
      <c r="J44">
        <f>IF(SUM($D44:I44)&lt;(7500-$C43),IF((10000*J6/1000+SUM($D44:I44))&lt;(7500-$C43),10000*J6/1000,7500-$C43-SUM($D44:I44)),0)</f>
        <v>671</v>
      </c>
      <c r="K44">
        <f>IF(SUM($D44:J44)&lt;(7500-$C43),IF((10000*K6/1000+SUM($D44:J44))&lt;(7500-$C43),10000*K6/1000,7500-$C43-SUM($D44:J44)),0)</f>
        <v>0</v>
      </c>
      <c r="L44">
        <f>IF(SUM($D44:K44)&lt;(7500-$C43),IF((10000*L6/1000+SUM($D44:K44))&lt;(7500-$C43),10000*L6/1000,7500-$C43-SUM($D44:K44)),0)</f>
        <v>0</v>
      </c>
      <c r="M44">
        <f>IF(SUM($D44:L44)&lt;(7500-$C43),IF((10000*M6/1000+SUM($D44:L44))&lt;(7500-$C43),10000*M6/1000,7500-$C43-SUM($D44:L44)),0)</f>
        <v>0</v>
      </c>
      <c r="N44">
        <f>IF(SUM($D44:M44)&lt;(7500-$C43),IF((10000*N6/1000+SUM($D44:M44))&lt;(7500-$C43),10000*N6/1000,7500-$C43-SUM($D44:M44)),0)</f>
        <v>0</v>
      </c>
      <c r="O44">
        <f>IF(SUM($D44:N44)&lt;(7500-$C43),IF((10000*O6/1000+SUM($D44:N44))&lt;(7500-$C43),10000*O6/1000,7500-$C43-SUM($D44:N44)),0)</f>
        <v>0</v>
      </c>
      <c r="P44">
        <f>IF(SUM($D44:O44)&lt;(7500-$C43),IF((10000*P6/1000+SUM($D44:O44))&lt;(7500-$C43),10000*P6/1000,7500-$C43-SUM($D44:O44)),0)</f>
        <v>0</v>
      </c>
      <c r="Q44">
        <f>IF(SUM($D44:P44)&lt;(7500-$C43),IF((10000*Q6/1000+SUM($D44:P44))&lt;(7500-$C43),10000*Q6/1000,7500-$C43-SUM($D44:P44)),0)</f>
        <v>0</v>
      </c>
      <c r="R44">
        <f>IF(SUM($D44:Q44)&lt;(7500-$C43),IF((10000*R6/1000+SUM($D44:Q44))&lt;(7500-$C43),10000*R6/1000,7500-$C43-SUM($D44:Q44)),0)</f>
        <v>0</v>
      </c>
      <c r="S44">
        <f>IF(SUM($D44:R44)&lt;(7500-$C43),IF((10000*S6/1000+SUM($D44:R44))&lt;(7500-$C43),10000*S6/1000,7500-$C43-SUM($D44:R44)),0)</f>
        <v>0</v>
      </c>
      <c r="T44">
        <f>IF(SUM($D44:S44)&lt;(7500-$C43),IF((10000*T6/1000+SUM($D44:S44))&lt;(7500-$C43),10000*T6/1000,7500-$C43-SUM($D44:S44)),0)</f>
        <v>0</v>
      </c>
      <c r="U44">
        <f>IF(SUM($D44:T44)&lt;(7500-$C43),IF((10000*U6/1000+SUM($D44:T44))&lt;(7500-$C43),10000*U6/1000,7500-$C43-SUM($D44:T44)),0)</f>
        <v>0</v>
      </c>
      <c r="V44">
        <f>IF(SUM($D44:U44)&lt;(7500-$C43),IF((10000*V6/1000+SUM($D44:U44))&lt;(7500-$C43),10000*V6/1000,7500-$C43-SUM($D44:U44)),0)</f>
        <v>0</v>
      </c>
      <c r="W44">
        <f>IF(SUM($D44:V44)&lt;(7500-$C43),IF((10000*W6/1000+SUM($D44:V44))&lt;(7500-$C43),10000*W6/1000,7500-$C43-SUM($D44:V44)),0)</f>
        <v>0</v>
      </c>
      <c r="X44">
        <f>IF(SUM($D44:W44)&lt;(7500-$C43),IF((10000*X6/1000+SUM($D44:W44))&lt;(7500-$C43),10000*X6/1000,7500-$C43-SUM($D44:W44)),0)</f>
        <v>0</v>
      </c>
    </row>
    <row r="45" spans="1:24" ht="8.25" customHeight="1" x14ac:dyDescent="0.25">
      <c r="D45" s="11"/>
    </row>
    <row r="46" spans="1:24" ht="7.5" customHeight="1" x14ac:dyDescent="0.25"/>
    <row r="69" spans="1:11" x14ac:dyDescent="0.25">
      <c r="C69" s="4"/>
    </row>
    <row r="79" spans="1:11" x14ac:dyDescent="0.25">
      <c r="A79" t="s">
        <v>34</v>
      </c>
      <c r="C79">
        <v>3638</v>
      </c>
      <c r="D79">
        <v>3445</v>
      </c>
      <c r="E79">
        <v>3277</v>
      </c>
      <c r="F79">
        <v>2814</v>
      </c>
      <c r="G79">
        <v>2312</v>
      </c>
      <c r="H79">
        <v>1676</v>
      </c>
      <c r="I79">
        <v>1159</v>
      </c>
      <c r="J79">
        <v>412</v>
      </c>
      <c r="K79">
        <v>0</v>
      </c>
    </row>
  </sheetData>
  <pageMargins left="0.7" right="0.7" top="0.75" bottom="0.75" header="0.3" footer="0.3"/>
  <pageSetup paperSize="3" scale="73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Y79"/>
  <sheetViews>
    <sheetView topLeftCell="A12" workbookViewId="0">
      <selection activeCell="D22" sqref="D22"/>
    </sheetView>
  </sheetViews>
  <sheetFormatPr defaultRowHeight="15" x14ac:dyDescent="0.25"/>
  <cols>
    <col min="1" max="1" width="24.5703125" customWidth="1"/>
    <col min="2" max="2" width="11.140625" customWidth="1"/>
    <col min="3" max="3" width="11.5703125" bestFit="1" customWidth="1"/>
    <col min="4" max="4" width="9.5703125" bestFit="1" customWidth="1"/>
    <col min="5" max="5" width="10.5703125" customWidth="1"/>
    <col min="6" max="7" width="9.42578125" bestFit="1" customWidth="1"/>
    <col min="8" max="24" width="8.5703125" customWidth="1"/>
  </cols>
  <sheetData>
    <row r="1" spans="1:25" ht="25.7" x14ac:dyDescent="0.5">
      <c r="A1" s="19" t="s">
        <v>22</v>
      </c>
    </row>
    <row r="2" spans="1:25" ht="18" x14ac:dyDescent="0.35">
      <c r="A2" s="20" t="s">
        <v>48</v>
      </c>
    </row>
    <row r="3" spans="1:25" ht="14.45" x14ac:dyDescent="0.3">
      <c r="A3" t="s">
        <v>28</v>
      </c>
      <c r="C3" s="14">
        <v>2009</v>
      </c>
      <c r="D3" s="14">
        <v>2010</v>
      </c>
      <c r="E3" s="14" t="s">
        <v>49</v>
      </c>
      <c r="F3" s="27">
        <v>2012</v>
      </c>
      <c r="G3" s="14">
        <f t="shared" ref="G3:V3" si="0">+F3+1</f>
        <v>2013</v>
      </c>
      <c r="H3" s="14">
        <f t="shared" si="0"/>
        <v>2014</v>
      </c>
      <c r="I3" s="14">
        <f t="shared" si="0"/>
        <v>2015</v>
      </c>
      <c r="J3" s="14">
        <f t="shared" si="0"/>
        <v>2016</v>
      </c>
      <c r="K3" s="14">
        <f t="shared" si="0"/>
        <v>2017</v>
      </c>
      <c r="L3" s="14">
        <f t="shared" si="0"/>
        <v>2018</v>
      </c>
      <c r="M3" s="14">
        <f t="shared" si="0"/>
        <v>2019</v>
      </c>
      <c r="N3" s="14">
        <f t="shared" si="0"/>
        <v>2020</v>
      </c>
      <c r="O3" s="14">
        <f t="shared" si="0"/>
        <v>2021</v>
      </c>
      <c r="P3" s="14">
        <f t="shared" si="0"/>
        <v>2022</v>
      </c>
      <c r="Q3" s="14">
        <f t="shared" si="0"/>
        <v>2023</v>
      </c>
      <c r="R3" s="14">
        <f t="shared" si="0"/>
        <v>2024</v>
      </c>
      <c r="S3" s="14">
        <f t="shared" si="0"/>
        <v>2025</v>
      </c>
      <c r="T3" s="14">
        <f t="shared" si="0"/>
        <v>2026</v>
      </c>
      <c r="U3" s="14">
        <f t="shared" si="0"/>
        <v>2027</v>
      </c>
      <c r="V3" s="14">
        <f t="shared" si="0"/>
        <v>2028</v>
      </c>
      <c r="W3" s="14">
        <f>+V3+1</f>
        <v>2029</v>
      </c>
      <c r="X3" s="14">
        <f>+W3+1</f>
        <v>2030</v>
      </c>
    </row>
    <row r="4" spans="1:25" ht="14.45" x14ac:dyDescent="0.3">
      <c r="F4" s="21"/>
    </row>
    <row r="5" spans="1:25" ht="14.45" x14ac:dyDescent="0.3">
      <c r="A5" s="1" t="s">
        <v>50</v>
      </c>
      <c r="C5">
        <v>335</v>
      </c>
      <c r="D5">
        <f>+C5+D6</f>
        <v>375</v>
      </c>
      <c r="E5">
        <f t="shared" ref="E5:X5" si="1">+D5+E6</f>
        <v>431</v>
      </c>
      <c r="F5" s="21">
        <f t="shared" si="1"/>
        <v>477</v>
      </c>
      <c r="G5">
        <f t="shared" si="1"/>
        <v>527</v>
      </c>
      <c r="H5">
        <f t="shared" si="1"/>
        <v>587</v>
      </c>
      <c r="I5">
        <f t="shared" si="1"/>
        <v>657</v>
      </c>
      <c r="J5">
        <f t="shared" si="1"/>
        <v>727</v>
      </c>
      <c r="K5">
        <f t="shared" si="1"/>
        <v>797</v>
      </c>
      <c r="L5">
        <f t="shared" si="1"/>
        <v>867</v>
      </c>
      <c r="M5">
        <f t="shared" si="1"/>
        <v>927</v>
      </c>
      <c r="N5">
        <f t="shared" si="1"/>
        <v>987</v>
      </c>
      <c r="O5">
        <f t="shared" si="1"/>
        <v>1047</v>
      </c>
      <c r="P5">
        <f t="shared" si="1"/>
        <v>1107</v>
      </c>
      <c r="Q5">
        <f t="shared" si="1"/>
        <v>1167</v>
      </c>
      <c r="R5">
        <f t="shared" si="1"/>
        <v>1217</v>
      </c>
      <c r="S5">
        <f t="shared" si="1"/>
        <v>1267</v>
      </c>
      <c r="T5">
        <f t="shared" si="1"/>
        <v>1317</v>
      </c>
      <c r="U5">
        <f t="shared" si="1"/>
        <v>1347</v>
      </c>
      <c r="V5">
        <f t="shared" si="1"/>
        <v>1372</v>
      </c>
      <c r="W5">
        <f t="shared" si="1"/>
        <v>1391</v>
      </c>
      <c r="X5">
        <f t="shared" si="1"/>
        <v>1391</v>
      </c>
    </row>
    <row r="6" spans="1:25" ht="14.45" x14ac:dyDescent="0.3">
      <c r="A6" s="1" t="s">
        <v>51</v>
      </c>
      <c r="D6" s="3">
        <v>40</v>
      </c>
      <c r="E6" s="3">
        <v>56</v>
      </c>
      <c r="F6" s="28">
        <v>46</v>
      </c>
      <c r="G6" s="3">
        <v>50</v>
      </c>
      <c r="H6" s="3">
        <v>60</v>
      </c>
      <c r="I6" s="3">
        <v>70</v>
      </c>
      <c r="J6" s="3">
        <v>70</v>
      </c>
      <c r="K6" s="3">
        <v>70</v>
      </c>
      <c r="L6" s="3">
        <v>70</v>
      </c>
      <c r="M6" s="3">
        <v>60</v>
      </c>
      <c r="N6" s="3">
        <v>60</v>
      </c>
      <c r="O6" s="3">
        <v>60</v>
      </c>
      <c r="P6" s="3">
        <v>60</v>
      </c>
      <c r="Q6" s="3">
        <v>60</v>
      </c>
      <c r="R6" s="3">
        <v>50</v>
      </c>
      <c r="S6" s="3">
        <v>50</v>
      </c>
      <c r="T6" s="3">
        <v>50</v>
      </c>
      <c r="U6" s="3">
        <v>30</v>
      </c>
      <c r="V6" s="3">
        <v>25</v>
      </c>
      <c r="W6" s="3">
        <v>19</v>
      </c>
      <c r="X6" s="3">
        <v>0</v>
      </c>
      <c r="Y6" s="2"/>
    </row>
    <row r="7" spans="1:25" ht="14.45" x14ac:dyDescent="0.3">
      <c r="A7" t="s">
        <v>32</v>
      </c>
      <c r="D7" s="33">
        <f>+D8/C8-1</f>
        <v>9.8654708520179435E-2</v>
      </c>
      <c r="E7" s="33">
        <v>0</v>
      </c>
      <c r="F7" s="32">
        <v>0.05</v>
      </c>
      <c r="G7" s="26">
        <f>+F7</f>
        <v>0.05</v>
      </c>
      <c r="H7" s="26">
        <f t="shared" ref="H7:X7" si="2">+G7</f>
        <v>0.05</v>
      </c>
      <c r="I7" s="26">
        <f t="shared" si="2"/>
        <v>0.05</v>
      </c>
      <c r="J7" s="26">
        <f t="shared" si="2"/>
        <v>0.05</v>
      </c>
      <c r="K7" s="26">
        <f t="shared" si="2"/>
        <v>0.05</v>
      </c>
      <c r="L7" s="26">
        <f t="shared" si="2"/>
        <v>0.05</v>
      </c>
      <c r="M7" s="26">
        <f t="shared" si="2"/>
        <v>0.05</v>
      </c>
      <c r="N7" s="26">
        <f t="shared" si="2"/>
        <v>0.05</v>
      </c>
      <c r="O7" s="26">
        <f t="shared" si="2"/>
        <v>0.05</v>
      </c>
      <c r="P7" s="26">
        <f t="shared" si="2"/>
        <v>0.05</v>
      </c>
      <c r="Q7" s="26">
        <f t="shared" si="2"/>
        <v>0.05</v>
      </c>
      <c r="R7" s="26">
        <f t="shared" si="2"/>
        <v>0.05</v>
      </c>
      <c r="S7" s="26">
        <f t="shared" si="2"/>
        <v>0.05</v>
      </c>
      <c r="T7" s="26">
        <f t="shared" si="2"/>
        <v>0.05</v>
      </c>
      <c r="U7" s="26">
        <f t="shared" si="2"/>
        <v>0.05</v>
      </c>
      <c r="V7" s="26">
        <f t="shared" si="2"/>
        <v>0.05</v>
      </c>
      <c r="W7" s="26">
        <f t="shared" si="2"/>
        <v>0.05</v>
      </c>
      <c r="X7" s="26">
        <f t="shared" si="2"/>
        <v>0.05</v>
      </c>
      <c r="Y7" s="2"/>
    </row>
    <row r="8" spans="1:25" ht="14.45" x14ac:dyDescent="0.3">
      <c r="A8" t="s">
        <v>3</v>
      </c>
      <c r="C8" s="3">
        <f>55.75*12</f>
        <v>669</v>
      </c>
      <c r="D8" s="3">
        <v>735</v>
      </c>
      <c r="E8" s="3">
        <v>735</v>
      </c>
      <c r="F8" s="24">
        <f t="shared" ref="F8:X8" si="3">+E8*(1+F7)</f>
        <v>771.75</v>
      </c>
      <c r="G8" s="4">
        <f t="shared" si="3"/>
        <v>810.33750000000009</v>
      </c>
      <c r="H8" s="4">
        <f t="shared" si="3"/>
        <v>850.85437500000012</v>
      </c>
      <c r="I8" s="4">
        <f t="shared" si="3"/>
        <v>893.39709375000018</v>
      </c>
      <c r="J8" s="4">
        <f t="shared" si="3"/>
        <v>938.06694843750017</v>
      </c>
      <c r="K8" s="4">
        <f t="shared" si="3"/>
        <v>984.97029585937526</v>
      </c>
      <c r="L8" s="4">
        <f t="shared" si="3"/>
        <v>1034.218810652344</v>
      </c>
      <c r="M8" s="4">
        <f t="shared" si="3"/>
        <v>1085.9297511849613</v>
      </c>
      <c r="N8" s="4">
        <f t="shared" si="3"/>
        <v>1140.2262387442095</v>
      </c>
      <c r="O8" s="4">
        <f t="shared" si="3"/>
        <v>1197.2375506814201</v>
      </c>
      <c r="P8" s="4">
        <f t="shared" si="3"/>
        <v>1257.0994282154911</v>
      </c>
      <c r="Q8" s="4">
        <f t="shared" si="3"/>
        <v>1319.9543996262657</v>
      </c>
      <c r="R8" s="4">
        <f t="shared" si="3"/>
        <v>1385.9521196075791</v>
      </c>
      <c r="S8" s="4">
        <f t="shared" si="3"/>
        <v>1455.2497255879582</v>
      </c>
      <c r="T8" s="4">
        <f t="shared" si="3"/>
        <v>1528.0122118673562</v>
      </c>
      <c r="U8" s="4">
        <f t="shared" si="3"/>
        <v>1604.4128224607241</v>
      </c>
      <c r="V8" s="4">
        <f t="shared" si="3"/>
        <v>1684.6334635837604</v>
      </c>
      <c r="W8" s="4">
        <f t="shared" si="3"/>
        <v>1768.8651367629486</v>
      </c>
      <c r="X8" s="4">
        <f t="shared" si="3"/>
        <v>1857.3083936010962</v>
      </c>
    </row>
    <row r="9" spans="1:25" ht="14.45" x14ac:dyDescent="0.3">
      <c r="A9" t="s">
        <v>4</v>
      </c>
      <c r="E9" s="44">
        <v>3.5000000000000003E-2</v>
      </c>
      <c r="F9" s="47">
        <f>+E9</f>
        <v>3.5000000000000003E-2</v>
      </c>
      <c r="G9" s="17">
        <f t="shared" ref="G9:X9" si="4">+F9</f>
        <v>3.5000000000000003E-2</v>
      </c>
      <c r="H9" s="17">
        <f t="shared" si="4"/>
        <v>3.5000000000000003E-2</v>
      </c>
      <c r="I9" s="17">
        <f t="shared" si="4"/>
        <v>3.5000000000000003E-2</v>
      </c>
      <c r="J9" s="17">
        <f t="shared" si="4"/>
        <v>3.5000000000000003E-2</v>
      </c>
      <c r="K9" s="17">
        <f t="shared" si="4"/>
        <v>3.5000000000000003E-2</v>
      </c>
      <c r="L9" s="17">
        <f t="shared" si="4"/>
        <v>3.5000000000000003E-2</v>
      </c>
      <c r="M9" s="17">
        <f t="shared" si="4"/>
        <v>3.5000000000000003E-2</v>
      </c>
      <c r="N9" s="17">
        <f t="shared" si="4"/>
        <v>3.5000000000000003E-2</v>
      </c>
      <c r="O9" s="17">
        <f t="shared" si="4"/>
        <v>3.5000000000000003E-2</v>
      </c>
      <c r="P9" s="17">
        <f t="shared" si="4"/>
        <v>3.5000000000000003E-2</v>
      </c>
      <c r="Q9" s="17">
        <f t="shared" si="4"/>
        <v>3.5000000000000003E-2</v>
      </c>
      <c r="R9" s="17">
        <f t="shared" si="4"/>
        <v>3.5000000000000003E-2</v>
      </c>
      <c r="S9" s="17">
        <f t="shared" si="4"/>
        <v>3.5000000000000003E-2</v>
      </c>
      <c r="T9" s="17">
        <f t="shared" si="4"/>
        <v>3.5000000000000003E-2</v>
      </c>
      <c r="U9" s="17">
        <f t="shared" si="4"/>
        <v>3.5000000000000003E-2</v>
      </c>
      <c r="V9" s="17">
        <f t="shared" si="4"/>
        <v>3.5000000000000003E-2</v>
      </c>
      <c r="W9" s="17">
        <f t="shared" si="4"/>
        <v>3.5000000000000003E-2</v>
      </c>
      <c r="X9" s="17">
        <f t="shared" si="4"/>
        <v>3.5000000000000003E-2</v>
      </c>
    </row>
    <row r="10" spans="1:25" ht="14.45" x14ac:dyDescent="0.3">
      <c r="A10" t="s">
        <v>24</v>
      </c>
      <c r="E10" s="45"/>
      <c r="F10" s="37"/>
      <c r="G10" s="16">
        <v>85</v>
      </c>
      <c r="H10" s="16">
        <v>85</v>
      </c>
      <c r="I10" s="16">
        <v>85</v>
      </c>
      <c r="J10" s="16">
        <v>85</v>
      </c>
      <c r="K10" s="16">
        <v>85</v>
      </c>
      <c r="L10" s="16">
        <v>85</v>
      </c>
      <c r="M10" s="16">
        <v>0</v>
      </c>
      <c r="N10" s="16">
        <v>0</v>
      </c>
      <c r="O10" s="16">
        <v>0</v>
      </c>
      <c r="P10" s="16">
        <v>0</v>
      </c>
      <c r="Q10" s="16">
        <v>0</v>
      </c>
      <c r="R10" s="16">
        <v>0</v>
      </c>
      <c r="S10" s="16">
        <v>0</v>
      </c>
      <c r="T10" s="16">
        <v>0</v>
      </c>
      <c r="U10" s="16">
        <v>0</v>
      </c>
      <c r="V10" s="16">
        <v>0</v>
      </c>
      <c r="W10" s="16">
        <v>0</v>
      </c>
      <c r="X10" s="16">
        <v>0</v>
      </c>
    </row>
    <row r="11" spans="1:25" ht="14.45" x14ac:dyDescent="0.3">
      <c r="A11" t="s">
        <v>25</v>
      </c>
      <c r="D11" s="18">
        <v>4.2500000000000003E-2</v>
      </c>
      <c r="E11" s="46">
        <v>4.2500000000000003E-2</v>
      </c>
      <c r="F11" s="38">
        <v>4.2500000000000003E-2</v>
      </c>
      <c r="G11" s="18">
        <v>4.7500000000000001E-2</v>
      </c>
      <c r="H11" s="18">
        <v>5.5E-2</v>
      </c>
      <c r="I11" s="18">
        <v>0.06</v>
      </c>
      <c r="J11" s="18">
        <v>0.06</v>
      </c>
      <c r="K11" s="18">
        <v>0.06</v>
      </c>
      <c r="L11" s="18">
        <v>0.06</v>
      </c>
      <c r="M11" s="18">
        <v>0.06</v>
      </c>
      <c r="N11" s="18">
        <v>0.06</v>
      </c>
      <c r="O11" s="18">
        <v>0.06</v>
      </c>
      <c r="P11" s="18">
        <v>0.06</v>
      </c>
      <c r="Q11" s="18">
        <v>0.06</v>
      </c>
      <c r="R11" s="18">
        <v>0.06</v>
      </c>
      <c r="S11" s="18">
        <v>0.06</v>
      </c>
      <c r="T11" s="18">
        <v>0.06</v>
      </c>
      <c r="U11" s="18">
        <v>0.06</v>
      </c>
      <c r="V11" s="18">
        <v>0.06</v>
      </c>
      <c r="W11" s="18">
        <v>0.06</v>
      </c>
      <c r="X11" s="18">
        <v>0.06</v>
      </c>
    </row>
    <row r="12" spans="1:25" ht="14.45" x14ac:dyDescent="0.3">
      <c r="F12" s="21"/>
    </row>
    <row r="13" spans="1:25" ht="14.45" x14ac:dyDescent="0.3">
      <c r="A13" s="7" t="s">
        <v>41</v>
      </c>
      <c r="F13" s="21"/>
    </row>
    <row r="14" spans="1:25" ht="14.45" x14ac:dyDescent="0.3">
      <c r="A14" t="s">
        <v>2</v>
      </c>
      <c r="C14" s="3">
        <v>214</v>
      </c>
      <c r="D14" s="3">
        <v>267</v>
      </c>
      <c r="E14" s="3">
        <v>297</v>
      </c>
      <c r="F14" s="22">
        <v>353</v>
      </c>
      <c r="G14" s="4">
        <f t="shared" ref="G14:X14" si="5">+(G5+F5)/2*G8/1000</f>
        <v>406.78942500000005</v>
      </c>
      <c r="H14" s="4">
        <f t="shared" si="5"/>
        <v>473.92588687500006</v>
      </c>
      <c r="I14" s="4">
        <f t="shared" si="5"/>
        <v>555.69299231250011</v>
      </c>
      <c r="J14" s="4">
        <f t="shared" si="5"/>
        <v>649.14232831875017</v>
      </c>
      <c r="K14" s="4">
        <f t="shared" si="5"/>
        <v>750.54736544484388</v>
      </c>
      <c r="L14" s="4">
        <f t="shared" si="5"/>
        <v>860.47005046275024</v>
      </c>
      <c r="M14" s="4">
        <f t="shared" si="5"/>
        <v>974.07898681291033</v>
      </c>
      <c r="N14" s="4">
        <f t="shared" si="5"/>
        <v>1091.1965104782084</v>
      </c>
      <c r="O14" s="4">
        <f t="shared" si="5"/>
        <v>1217.5905890430042</v>
      </c>
      <c r="P14" s="4">
        <f t="shared" si="5"/>
        <v>1353.8960841880839</v>
      </c>
      <c r="Q14" s="4">
        <f t="shared" si="5"/>
        <v>1500.7881523750641</v>
      </c>
      <c r="R14" s="4">
        <f t="shared" si="5"/>
        <v>1652.0549265722343</v>
      </c>
      <c r="S14" s="4">
        <f t="shared" si="5"/>
        <v>1807.4201591802441</v>
      </c>
      <c r="T14" s="4">
        <f t="shared" si="5"/>
        <v>1974.1917777326241</v>
      </c>
      <c r="U14" s="4">
        <f t="shared" si="5"/>
        <v>2137.0778795176848</v>
      </c>
      <c r="V14" s="4">
        <f t="shared" si="5"/>
        <v>2290.2591937421225</v>
      </c>
      <c r="W14" s="4">
        <f t="shared" si="5"/>
        <v>2443.6871864380132</v>
      </c>
      <c r="X14" s="4">
        <f t="shared" si="5"/>
        <v>2583.5159754991246</v>
      </c>
    </row>
    <row r="15" spans="1:25" ht="14.45" x14ac:dyDescent="0.35">
      <c r="A15" t="s">
        <v>5</v>
      </c>
      <c r="C15" s="3">
        <v>5</v>
      </c>
      <c r="D15" s="3">
        <v>5</v>
      </c>
      <c r="E15" s="3">
        <v>5</v>
      </c>
      <c r="F15" s="22">
        <f t="shared" ref="F15:X15" si="6">+E15*(1+F$9)</f>
        <v>5.1749999999999998</v>
      </c>
      <c r="G15" s="4">
        <f t="shared" si="6"/>
        <v>5.3561249999999996</v>
      </c>
      <c r="H15" s="4">
        <f t="shared" si="6"/>
        <v>5.5435893749999989</v>
      </c>
      <c r="I15" s="4">
        <f t="shared" si="6"/>
        <v>5.7376150031249988</v>
      </c>
      <c r="J15" s="4">
        <f t="shared" si="6"/>
        <v>5.9384315282343731</v>
      </c>
      <c r="K15" s="4">
        <f t="shared" si="6"/>
        <v>6.1462766317225759</v>
      </c>
      <c r="L15" s="4">
        <f t="shared" si="6"/>
        <v>6.3613963138328655</v>
      </c>
      <c r="M15" s="4">
        <f t="shared" si="6"/>
        <v>6.5840451848170156</v>
      </c>
      <c r="N15" s="4">
        <f t="shared" si="6"/>
        <v>6.8144867662856106</v>
      </c>
      <c r="O15" s="4">
        <f t="shared" si="6"/>
        <v>7.0529938031056068</v>
      </c>
      <c r="P15" s="4">
        <f t="shared" si="6"/>
        <v>7.2998485862143028</v>
      </c>
      <c r="Q15" s="4">
        <f t="shared" si="6"/>
        <v>7.5553432867318024</v>
      </c>
      <c r="R15" s="4">
        <f t="shared" si="6"/>
        <v>7.8197803017674152</v>
      </c>
      <c r="S15" s="4">
        <f t="shared" si="6"/>
        <v>8.0934726123292737</v>
      </c>
      <c r="T15" s="4">
        <f t="shared" si="6"/>
        <v>8.3767441537607983</v>
      </c>
      <c r="U15" s="4">
        <f t="shared" si="6"/>
        <v>8.669930199142426</v>
      </c>
      <c r="V15" s="4">
        <f t="shared" si="6"/>
        <v>8.9733777561124111</v>
      </c>
      <c r="W15" s="4">
        <f t="shared" si="6"/>
        <v>9.2874459775763452</v>
      </c>
      <c r="X15" s="4">
        <f t="shared" si="6"/>
        <v>9.6125065867915165</v>
      </c>
    </row>
    <row r="16" spans="1:25" ht="14.45" x14ac:dyDescent="0.35">
      <c r="A16" t="s">
        <v>39</v>
      </c>
      <c r="C16" s="3">
        <v>4</v>
      </c>
      <c r="D16" s="3">
        <v>3</v>
      </c>
      <c r="E16" s="3">
        <v>20</v>
      </c>
      <c r="F16" s="22">
        <v>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</row>
    <row r="17" spans="1:24" ht="14.45" x14ac:dyDescent="0.35">
      <c r="A17" t="s">
        <v>6</v>
      </c>
      <c r="C17" s="34">
        <v>0</v>
      </c>
      <c r="D17" s="34">
        <v>0</v>
      </c>
      <c r="E17" s="34">
        <v>0</v>
      </c>
      <c r="F17" s="22">
        <v>-2</v>
      </c>
      <c r="G17" s="4">
        <f t="shared" ref="G17:X17" si="7">-0.015*G14</f>
        <v>-6.1018413750000002</v>
      </c>
      <c r="H17" s="4">
        <f t="shared" si="7"/>
        <v>-7.108888303125001</v>
      </c>
      <c r="I17" s="4">
        <f t="shared" si="7"/>
        <v>-8.335394884687501</v>
      </c>
      <c r="J17" s="4">
        <f t="shared" si="7"/>
        <v>-9.7371349247812518</v>
      </c>
      <c r="K17" s="4">
        <f t="shared" si="7"/>
        <v>-11.258210481672657</v>
      </c>
      <c r="L17" s="4">
        <f t="shared" si="7"/>
        <v>-12.907050756941253</v>
      </c>
      <c r="M17" s="4">
        <f t="shared" si="7"/>
        <v>-14.611184802193655</v>
      </c>
      <c r="N17" s="4">
        <f t="shared" si="7"/>
        <v>-16.367947657173126</v>
      </c>
      <c r="O17" s="4">
        <f t="shared" si="7"/>
        <v>-18.263858835645063</v>
      </c>
      <c r="P17" s="4">
        <f t="shared" si="7"/>
        <v>-20.308441262821258</v>
      </c>
      <c r="Q17" s="4">
        <f t="shared" si="7"/>
        <v>-22.511822285625961</v>
      </c>
      <c r="R17" s="4">
        <f t="shared" si="7"/>
        <v>-24.780823898583513</v>
      </c>
      <c r="S17" s="4">
        <f t="shared" si="7"/>
        <v>-27.11130238770366</v>
      </c>
      <c r="T17" s="4">
        <f t="shared" si="7"/>
        <v>-29.612876665989361</v>
      </c>
      <c r="U17" s="4">
        <f t="shared" si="7"/>
        <v>-32.05616819276527</v>
      </c>
      <c r="V17" s="4">
        <f t="shared" si="7"/>
        <v>-34.353887906131838</v>
      </c>
      <c r="W17" s="4">
        <f t="shared" si="7"/>
        <v>-36.655307796570199</v>
      </c>
      <c r="X17" s="4">
        <f t="shared" si="7"/>
        <v>-38.752739632486865</v>
      </c>
    </row>
    <row r="18" spans="1:24" ht="14.45" x14ac:dyDescent="0.35">
      <c r="A18" t="s">
        <v>12</v>
      </c>
      <c r="C18" s="3">
        <f>940-77-359</f>
        <v>504</v>
      </c>
      <c r="D18" s="3">
        <v>580</v>
      </c>
      <c r="E18" s="3">
        <v>677</v>
      </c>
      <c r="F18" s="49">
        <v>805</v>
      </c>
      <c r="G18" s="10">
        <f t="shared" ref="G18:X18" si="8">+F18*(1+G9)+G10</f>
        <v>918.17499999999995</v>
      </c>
      <c r="H18" s="10">
        <f t="shared" si="8"/>
        <v>1035.3111249999997</v>
      </c>
      <c r="I18" s="10">
        <f t="shared" si="8"/>
        <v>1156.5470143749997</v>
      </c>
      <c r="J18" s="10">
        <f t="shared" si="8"/>
        <v>1282.0261598781246</v>
      </c>
      <c r="K18" s="10">
        <f t="shared" si="8"/>
        <v>1411.8970754738589</v>
      </c>
      <c r="L18" s="10">
        <f t="shared" si="8"/>
        <v>1546.3134731154439</v>
      </c>
      <c r="M18" s="10">
        <f t="shared" si="8"/>
        <v>1600.4344446744844</v>
      </c>
      <c r="N18" s="10">
        <f t="shared" si="8"/>
        <v>1656.4496502380912</v>
      </c>
      <c r="O18" s="10">
        <f t="shared" si="8"/>
        <v>1714.4253879964242</v>
      </c>
      <c r="P18" s="10">
        <f t="shared" si="8"/>
        <v>1774.4302765762989</v>
      </c>
      <c r="Q18" s="10">
        <f t="shared" si="8"/>
        <v>1836.5353362564692</v>
      </c>
      <c r="R18" s="10">
        <f t="shared" si="8"/>
        <v>1900.8140730254456</v>
      </c>
      <c r="S18" s="10">
        <f t="shared" si="8"/>
        <v>1967.342565581336</v>
      </c>
      <c r="T18" s="10">
        <f t="shared" si="8"/>
        <v>2036.1995553766826</v>
      </c>
      <c r="U18" s="10">
        <f t="shared" si="8"/>
        <v>2107.4665398148663</v>
      </c>
      <c r="V18" s="10">
        <f t="shared" si="8"/>
        <v>2181.2278687083863</v>
      </c>
      <c r="W18" s="10">
        <f t="shared" si="8"/>
        <v>2257.5708441131796</v>
      </c>
      <c r="X18" s="10">
        <f t="shared" si="8"/>
        <v>2336.5858236571407</v>
      </c>
    </row>
    <row r="19" spans="1:24" ht="14.45" x14ac:dyDescent="0.35">
      <c r="A19" s="6" t="s">
        <v>43</v>
      </c>
      <c r="C19" s="13">
        <f>SUM(C14:C18)</f>
        <v>727</v>
      </c>
      <c r="D19" s="35">
        <f t="shared" ref="D19:X19" si="9">SUM(D14:D18)</f>
        <v>855</v>
      </c>
      <c r="E19" s="35">
        <f t="shared" si="9"/>
        <v>999</v>
      </c>
      <c r="F19" s="29">
        <f t="shared" si="9"/>
        <v>1161.175</v>
      </c>
      <c r="G19" s="13">
        <f t="shared" si="9"/>
        <v>1324.2187086250001</v>
      </c>
      <c r="H19" s="13">
        <f t="shared" si="9"/>
        <v>1507.6717129468748</v>
      </c>
      <c r="I19" s="13">
        <f t="shared" si="9"/>
        <v>1709.6422268059373</v>
      </c>
      <c r="J19" s="13">
        <f t="shared" si="9"/>
        <v>1927.369784800328</v>
      </c>
      <c r="K19" s="13">
        <f t="shared" si="9"/>
        <v>2157.3325070687524</v>
      </c>
      <c r="L19" s="13">
        <f t="shared" si="9"/>
        <v>2400.2378691350859</v>
      </c>
      <c r="M19" s="13">
        <f t="shared" si="9"/>
        <v>2566.4862918700182</v>
      </c>
      <c r="N19" s="13">
        <f t="shared" si="9"/>
        <v>2738.0926998254122</v>
      </c>
      <c r="O19" s="13">
        <f t="shared" si="9"/>
        <v>2920.805112006889</v>
      </c>
      <c r="P19" s="13">
        <f t="shared" si="9"/>
        <v>3115.3177680877757</v>
      </c>
      <c r="Q19" s="13">
        <f t="shared" si="9"/>
        <v>3322.3670096326391</v>
      </c>
      <c r="R19" s="13">
        <f t="shared" si="9"/>
        <v>3535.907956000864</v>
      </c>
      <c r="S19" s="13">
        <f t="shared" si="9"/>
        <v>3755.7448949862055</v>
      </c>
      <c r="T19" s="13">
        <f t="shared" si="9"/>
        <v>3989.155200597078</v>
      </c>
      <c r="U19" s="13">
        <f t="shared" si="9"/>
        <v>4221.1581813389284</v>
      </c>
      <c r="V19" s="13">
        <f t="shared" si="9"/>
        <v>4446.1065523004891</v>
      </c>
      <c r="W19" s="13">
        <f t="shared" si="9"/>
        <v>4673.8901687321995</v>
      </c>
      <c r="X19" s="13">
        <f t="shared" si="9"/>
        <v>4890.9615661105699</v>
      </c>
    </row>
    <row r="20" spans="1:24" ht="14.45" x14ac:dyDescent="0.35">
      <c r="F20" s="21"/>
    </row>
    <row r="21" spans="1:24" ht="14.45" x14ac:dyDescent="0.35">
      <c r="A21" s="7" t="s">
        <v>44</v>
      </c>
      <c r="F21" s="21"/>
    </row>
    <row r="22" spans="1:24" ht="14.45" x14ac:dyDescent="0.35">
      <c r="A22" t="s">
        <v>40</v>
      </c>
      <c r="C22" s="8">
        <f>508-178+42</f>
        <v>372</v>
      </c>
      <c r="D22" s="8">
        <v>347</v>
      </c>
      <c r="E22" s="8">
        <f>558-229+42</f>
        <v>371</v>
      </c>
      <c r="F22" s="30">
        <f>200+429-254</f>
        <v>375</v>
      </c>
      <c r="G22" s="9">
        <f t="shared" ref="G22:U23" si="10">+F22*(1+G$9)</f>
        <v>388.12499999999994</v>
      </c>
      <c r="H22" s="9">
        <f t="shared" si="10"/>
        <v>401.70937499999991</v>
      </c>
      <c r="I22" s="9">
        <f t="shared" si="10"/>
        <v>415.76920312499988</v>
      </c>
      <c r="J22" s="9">
        <f t="shared" si="10"/>
        <v>430.32112523437485</v>
      </c>
      <c r="K22" s="9">
        <f t="shared" si="10"/>
        <v>445.38236461757793</v>
      </c>
      <c r="L22" s="9">
        <f t="shared" si="10"/>
        <v>460.97074737919314</v>
      </c>
      <c r="M22" s="9">
        <f t="shared" si="10"/>
        <v>477.10472353746485</v>
      </c>
      <c r="N22" s="9">
        <f t="shared" si="10"/>
        <v>493.80338886127606</v>
      </c>
      <c r="O22" s="9">
        <f t="shared" si="10"/>
        <v>511.0865074714207</v>
      </c>
      <c r="P22" s="9">
        <f t="shared" si="10"/>
        <v>528.9745352329204</v>
      </c>
      <c r="Q22" s="9">
        <f t="shared" si="10"/>
        <v>547.48864396607257</v>
      </c>
      <c r="R22" s="9">
        <f t="shared" si="10"/>
        <v>566.65074650488509</v>
      </c>
      <c r="S22" s="9">
        <f t="shared" si="10"/>
        <v>586.48352263255606</v>
      </c>
      <c r="T22" s="9">
        <f t="shared" si="10"/>
        <v>607.01044592469543</v>
      </c>
      <c r="U22" s="9">
        <f t="shared" si="10"/>
        <v>628.25581153205974</v>
      </c>
      <c r="V22" s="9">
        <f t="shared" ref="V22:X23" si="11">+U22*(1+V$9)</f>
        <v>650.24476493568181</v>
      </c>
      <c r="W22" s="9">
        <f t="shared" si="11"/>
        <v>673.00333170843066</v>
      </c>
      <c r="X22" s="9">
        <f t="shared" si="11"/>
        <v>696.55844831822571</v>
      </c>
    </row>
    <row r="23" spans="1:24" ht="14.45" x14ac:dyDescent="0.35">
      <c r="A23" t="s">
        <v>8</v>
      </c>
      <c r="C23" s="8">
        <v>772</v>
      </c>
      <c r="D23" s="8">
        <v>733</v>
      </c>
      <c r="E23" s="8">
        <v>694</v>
      </c>
      <c r="F23" s="30">
        <f>870-82</f>
        <v>788</v>
      </c>
      <c r="G23" s="9">
        <f t="shared" si="10"/>
        <v>815.57999999999993</v>
      </c>
      <c r="H23" s="9">
        <f t="shared" si="10"/>
        <v>844.12529999999981</v>
      </c>
      <c r="I23" s="9">
        <f t="shared" si="10"/>
        <v>873.66968549999979</v>
      </c>
      <c r="J23" s="9">
        <f t="shared" si="10"/>
        <v>904.24812449249976</v>
      </c>
      <c r="K23" s="9">
        <f t="shared" si="10"/>
        <v>935.89680884973723</v>
      </c>
      <c r="L23" s="9">
        <f t="shared" si="10"/>
        <v>968.65319715947794</v>
      </c>
      <c r="M23" s="9">
        <f t="shared" si="10"/>
        <v>1002.5560590600596</v>
      </c>
      <c r="N23" s="9">
        <f t="shared" si="10"/>
        <v>1037.6455211271616</v>
      </c>
      <c r="O23" s="9">
        <f t="shared" si="10"/>
        <v>1073.9631143666122</v>
      </c>
      <c r="P23" s="9">
        <f t="shared" si="10"/>
        <v>1111.5518233694436</v>
      </c>
      <c r="Q23" s="9">
        <f t="shared" si="10"/>
        <v>1150.456137187374</v>
      </c>
      <c r="R23" s="9">
        <f t="shared" si="10"/>
        <v>1190.7221019889321</v>
      </c>
      <c r="S23" s="9">
        <f t="shared" si="10"/>
        <v>1232.3973755585446</v>
      </c>
      <c r="T23" s="9">
        <f t="shared" si="10"/>
        <v>1275.5312837030935</v>
      </c>
      <c r="U23" s="9">
        <f t="shared" si="10"/>
        <v>1320.1748786327016</v>
      </c>
      <c r="V23" s="9">
        <f t="shared" si="11"/>
        <v>1366.3809993848461</v>
      </c>
      <c r="W23" s="9">
        <f t="shared" si="11"/>
        <v>1414.2043343633156</v>
      </c>
      <c r="X23" s="9">
        <f t="shared" si="11"/>
        <v>1463.7014860660315</v>
      </c>
    </row>
    <row r="24" spans="1:24" ht="14.45" x14ac:dyDescent="0.35">
      <c r="A24" t="s">
        <v>30</v>
      </c>
      <c r="C24" s="8">
        <v>0</v>
      </c>
      <c r="D24" s="8">
        <v>0</v>
      </c>
      <c r="E24" s="8">
        <v>0</v>
      </c>
      <c r="F24" s="30">
        <v>0</v>
      </c>
      <c r="G24" s="8">
        <v>50</v>
      </c>
      <c r="H24" s="9">
        <f t="shared" ref="H24:X24" si="12">+G24*(1+H9)</f>
        <v>51.749999999999993</v>
      </c>
      <c r="I24" s="9">
        <f t="shared" si="12"/>
        <v>53.561249999999987</v>
      </c>
      <c r="J24" s="9">
        <f t="shared" si="12"/>
        <v>55.435893749999984</v>
      </c>
      <c r="K24" s="9">
        <f t="shared" si="12"/>
        <v>57.376150031249978</v>
      </c>
      <c r="L24" s="9">
        <f t="shared" si="12"/>
        <v>59.384315282343721</v>
      </c>
      <c r="M24" s="9">
        <f t="shared" si="12"/>
        <v>61.462766317225743</v>
      </c>
      <c r="N24" s="9">
        <f t="shared" si="12"/>
        <v>63.613963138328636</v>
      </c>
      <c r="O24" s="9">
        <f t="shared" si="12"/>
        <v>65.840451848170133</v>
      </c>
      <c r="P24" s="9">
        <f t="shared" si="12"/>
        <v>68.144867662856086</v>
      </c>
      <c r="Q24" s="9">
        <f t="shared" si="12"/>
        <v>70.529938031056048</v>
      </c>
      <c r="R24" s="9">
        <f t="shared" si="12"/>
        <v>72.998485862142999</v>
      </c>
      <c r="S24" s="9">
        <f t="shared" si="12"/>
        <v>75.553432867317994</v>
      </c>
      <c r="T24" s="9">
        <f t="shared" si="12"/>
        <v>78.197803017674119</v>
      </c>
      <c r="U24" s="9">
        <f t="shared" si="12"/>
        <v>80.934726123292705</v>
      </c>
      <c r="V24" s="9">
        <f t="shared" si="12"/>
        <v>83.767441537607937</v>
      </c>
      <c r="W24" s="9">
        <f t="shared" si="12"/>
        <v>86.699301991424207</v>
      </c>
      <c r="X24" s="9">
        <f t="shared" si="12"/>
        <v>89.733777561124043</v>
      </c>
    </row>
    <row r="25" spans="1:24" ht="14.45" x14ac:dyDescent="0.35">
      <c r="A25" t="s">
        <v>9</v>
      </c>
      <c r="C25" s="8">
        <f>116+42-47</f>
        <v>111</v>
      </c>
      <c r="D25" s="8">
        <v>81</v>
      </c>
      <c r="E25" s="8">
        <f>97+46-57</f>
        <v>86</v>
      </c>
      <c r="F25" s="30">
        <v>96</v>
      </c>
      <c r="G25" s="9">
        <f t="shared" ref="G25:X25" si="13">+F25*(1+G$9)*1.02</f>
        <v>101.34719999999999</v>
      </c>
      <c r="H25" s="9">
        <f t="shared" si="13"/>
        <v>106.99223903999999</v>
      </c>
      <c r="I25" s="9">
        <f t="shared" si="13"/>
        <v>112.95170675452799</v>
      </c>
      <c r="J25" s="9">
        <f t="shared" si="13"/>
        <v>119.24311682075519</v>
      </c>
      <c r="K25" s="9">
        <f t="shared" si="13"/>
        <v>125.88495842767125</v>
      </c>
      <c r="L25" s="9">
        <f t="shared" si="13"/>
        <v>132.89675061209252</v>
      </c>
      <c r="M25" s="9">
        <f t="shared" si="13"/>
        <v>140.29909962118606</v>
      </c>
      <c r="N25" s="9">
        <f t="shared" si="13"/>
        <v>148.11375947008611</v>
      </c>
      <c r="O25" s="9">
        <f t="shared" si="13"/>
        <v>156.36369587256988</v>
      </c>
      <c r="P25" s="9">
        <f t="shared" si="13"/>
        <v>165.07315373267201</v>
      </c>
      <c r="Q25" s="9">
        <f t="shared" si="13"/>
        <v>174.26772839558183</v>
      </c>
      <c r="R25" s="9">
        <f t="shared" si="13"/>
        <v>183.97444086721572</v>
      </c>
      <c r="S25" s="9">
        <f t="shared" si="13"/>
        <v>194.22181722351962</v>
      </c>
      <c r="T25" s="9">
        <f t="shared" si="13"/>
        <v>205.03997244286967</v>
      </c>
      <c r="U25" s="9">
        <f t="shared" si="13"/>
        <v>216.46069890793748</v>
      </c>
      <c r="V25" s="9">
        <f t="shared" si="13"/>
        <v>228.51755983710959</v>
      </c>
      <c r="W25" s="9">
        <f t="shared" si="13"/>
        <v>241.24598792003658</v>
      </c>
      <c r="X25" s="9">
        <f t="shared" si="13"/>
        <v>254.68338944718261</v>
      </c>
    </row>
    <row r="26" spans="1:24" ht="14.45" x14ac:dyDescent="0.35">
      <c r="A26" t="s">
        <v>10</v>
      </c>
      <c r="C26" s="8">
        <v>22</v>
      </c>
      <c r="D26" s="8">
        <v>14</v>
      </c>
      <c r="E26" s="8">
        <v>28</v>
      </c>
      <c r="F26" s="30">
        <v>27</v>
      </c>
      <c r="G26" s="8">
        <v>25</v>
      </c>
      <c r="H26" s="8">
        <v>25</v>
      </c>
      <c r="I26" s="8">
        <v>25</v>
      </c>
      <c r="J26" s="8">
        <v>25</v>
      </c>
      <c r="K26" s="8">
        <v>25</v>
      </c>
      <c r="L26" s="8">
        <v>25</v>
      </c>
      <c r="M26" s="8">
        <v>25</v>
      </c>
      <c r="N26" s="8">
        <v>25</v>
      </c>
      <c r="O26" s="8">
        <v>25</v>
      </c>
      <c r="P26" s="8">
        <v>25</v>
      </c>
      <c r="Q26" s="8">
        <v>25</v>
      </c>
      <c r="R26" s="8">
        <v>25</v>
      </c>
      <c r="S26" s="8">
        <v>25</v>
      </c>
      <c r="T26" s="8">
        <v>25</v>
      </c>
      <c r="U26" s="8">
        <v>25</v>
      </c>
      <c r="V26" s="8">
        <v>25</v>
      </c>
      <c r="W26" s="8">
        <v>25</v>
      </c>
      <c r="X26" s="8">
        <v>25</v>
      </c>
    </row>
    <row r="27" spans="1:24" ht="14.45" x14ac:dyDescent="0.35">
      <c r="A27" t="s">
        <v>11</v>
      </c>
      <c r="C27" s="8">
        <f>15-9</f>
        <v>6</v>
      </c>
      <c r="D27" s="8">
        <v>4</v>
      </c>
      <c r="E27" s="8">
        <v>8</v>
      </c>
      <c r="F27" s="30">
        <v>19</v>
      </c>
      <c r="G27" s="9">
        <f t="shared" ref="F27:X29" si="14">+F27*(1+G$9)</f>
        <v>19.664999999999999</v>
      </c>
      <c r="H27" s="9">
        <f t="shared" si="14"/>
        <v>20.353274999999996</v>
      </c>
      <c r="I27" s="9">
        <f t="shared" si="14"/>
        <v>21.065639624999996</v>
      </c>
      <c r="J27" s="9">
        <f t="shared" si="14"/>
        <v>21.802937011874995</v>
      </c>
      <c r="K27" s="9">
        <f t="shared" si="14"/>
        <v>22.566039807290618</v>
      </c>
      <c r="L27" s="9">
        <f t="shared" si="14"/>
        <v>23.355851200545789</v>
      </c>
      <c r="M27" s="9">
        <f t="shared" si="14"/>
        <v>24.173305992564892</v>
      </c>
      <c r="N27" s="9">
        <f t="shared" si="14"/>
        <v>25.01937170230466</v>
      </c>
      <c r="O27" s="9">
        <f t="shared" si="14"/>
        <v>25.895049711885321</v>
      </c>
      <c r="P27" s="9">
        <f t="shared" si="14"/>
        <v>26.801376451801303</v>
      </c>
      <c r="Q27" s="9">
        <f t="shared" si="14"/>
        <v>27.739424627614348</v>
      </c>
      <c r="R27" s="9">
        <f t="shared" si="14"/>
        <v>28.710304489580846</v>
      </c>
      <c r="S27" s="9">
        <f t="shared" si="14"/>
        <v>29.715165146716174</v>
      </c>
      <c r="T27" s="9">
        <f t="shared" si="14"/>
        <v>30.755195926851236</v>
      </c>
      <c r="U27" s="9">
        <f t="shared" si="14"/>
        <v>31.831627784291026</v>
      </c>
      <c r="V27" s="9">
        <f t="shared" si="14"/>
        <v>32.94573475674121</v>
      </c>
      <c r="W27" s="9">
        <f t="shared" si="14"/>
        <v>34.098835473227147</v>
      </c>
      <c r="X27" s="9">
        <f t="shared" si="14"/>
        <v>35.292294714790096</v>
      </c>
    </row>
    <row r="28" spans="1:24" ht="14.45" x14ac:dyDescent="0.35">
      <c r="A28" t="s">
        <v>13</v>
      </c>
      <c r="C28" s="8">
        <v>32</v>
      </c>
      <c r="D28" s="8">
        <v>29</v>
      </c>
      <c r="E28" s="8">
        <v>30</v>
      </c>
      <c r="F28" s="30">
        <f t="shared" si="14"/>
        <v>31.049999999999997</v>
      </c>
      <c r="G28" s="9">
        <f t="shared" si="14"/>
        <v>32.136749999999992</v>
      </c>
      <c r="H28" s="9">
        <f t="shared" si="14"/>
        <v>33.261536249999992</v>
      </c>
      <c r="I28" s="9">
        <f t="shared" si="14"/>
        <v>34.425690018749989</v>
      </c>
      <c r="J28" s="9">
        <f t="shared" si="14"/>
        <v>35.630589169406235</v>
      </c>
      <c r="K28" s="9">
        <f t="shared" si="14"/>
        <v>36.87765979033545</v>
      </c>
      <c r="L28" s="9">
        <f t="shared" si="14"/>
        <v>38.168377882997184</v>
      </c>
      <c r="M28" s="9">
        <f t="shared" si="14"/>
        <v>39.504271108902081</v>
      </c>
      <c r="N28" s="9">
        <f t="shared" si="14"/>
        <v>40.886920597713655</v>
      </c>
      <c r="O28" s="9">
        <f t="shared" si="14"/>
        <v>42.317962818633632</v>
      </c>
      <c r="P28" s="9">
        <f t="shared" si="14"/>
        <v>43.799091517285802</v>
      </c>
      <c r="Q28" s="9">
        <f t="shared" si="14"/>
        <v>45.332059720390802</v>
      </c>
      <c r="R28" s="9">
        <f t="shared" si="14"/>
        <v>46.918681810604475</v>
      </c>
      <c r="S28" s="9">
        <f t="shared" si="14"/>
        <v>48.560835673975632</v>
      </c>
      <c r="T28" s="9">
        <f t="shared" si="14"/>
        <v>50.260464922564772</v>
      </c>
      <c r="U28" s="9">
        <f t="shared" si="14"/>
        <v>52.019581194854538</v>
      </c>
      <c r="V28" s="9">
        <f t="shared" si="14"/>
        <v>53.840266536674442</v>
      </c>
      <c r="W28" s="9">
        <f t="shared" si="14"/>
        <v>55.724675865458046</v>
      </c>
      <c r="X28" s="9">
        <f t="shared" si="14"/>
        <v>57.675039520749074</v>
      </c>
    </row>
    <row r="29" spans="1:24" ht="14.45" x14ac:dyDescent="0.35">
      <c r="A29" t="s">
        <v>14</v>
      </c>
      <c r="C29" s="8">
        <v>42</v>
      </c>
      <c r="D29" s="8">
        <v>46</v>
      </c>
      <c r="E29" s="8">
        <v>45</v>
      </c>
      <c r="F29" s="30">
        <v>49</v>
      </c>
      <c r="G29" s="9">
        <f t="shared" si="14"/>
        <v>50.714999999999996</v>
      </c>
      <c r="H29" s="9">
        <f t="shared" si="14"/>
        <v>52.490024999999989</v>
      </c>
      <c r="I29" s="9">
        <f t="shared" si="14"/>
        <v>54.32717587499998</v>
      </c>
      <c r="J29" s="9">
        <f t="shared" si="14"/>
        <v>56.228627030624978</v>
      </c>
      <c r="K29" s="9">
        <f t="shared" si="14"/>
        <v>58.19662897669685</v>
      </c>
      <c r="L29" s="9">
        <f t="shared" si="14"/>
        <v>60.233510990881236</v>
      </c>
      <c r="M29" s="9">
        <f t="shared" si="14"/>
        <v>62.341683875562076</v>
      </c>
      <c r="N29" s="9">
        <f t="shared" si="14"/>
        <v>64.523642811206741</v>
      </c>
      <c r="O29" s="9">
        <f t="shared" si="14"/>
        <v>66.781970309598975</v>
      </c>
      <c r="P29" s="9">
        <f t="shared" si="14"/>
        <v>69.119339270434935</v>
      </c>
      <c r="Q29" s="9">
        <f t="shared" si="14"/>
        <v>71.538516144900157</v>
      </c>
      <c r="R29" s="9">
        <f t="shared" si="14"/>
        <v>74.042364209971652</v>
      </c>
      <c r="S29" s="9">
        <f t="shared" si="14"/>
        <v>76.633846957320657</v>
      </c>
      <c r="T29" s="9">
        <f t="shared" si="14"/>
        <v>79.316031600826875</v>
      </c>
      <c r="U29" s="9">
        <f t="shared" si="14"/>
        <v>82.092092706855809</v>
      </c>
      <c r="V29" s="9">
        <f t="shared" si="14"/>
        <v>84.965315951595755</v>
      </c>
      <c r="W29" s="9">
        <f t="shared" si="14"/>
        <v>87.939102009901603</v>
      </c>
      <c r="X29" s="9">
        <f t="shared" si="14"/>
        <v>91.016970580248156</v>
      </c>
    </row>
    <row r="30" spans="1:24" x14ac:dyDescent="0.25">
      <c r="A30" t="s">
        <v>23</v>
      </c>
      <c r="C30" s="8">
        <v>5</v>
      </c>
      <c r="D30" s="8">
        <v>3</v>
      </c>
      <c r="E30" s="8">
        <v>12</v>
      </c>
      <c r="F30" s="30">
        <v>6</v>
      </c>
      <c r="G30" s="15">
        <v>0</v>
      </c>
      <c r="H30" s="15">
        <v>0</v>
      </c>
      <c r="I30" s="15">
        <v>0</v>
      </c>
      <c r="J30" s="15">
        <v>0</v>
      </c>
      <c r="K30" s="15">
        <v>0</v>
      </c>
      <c r="L30" s="15">
        <v>0</v>
      </c>
      <c r="M30" s="15">
        <v>0</v>
      </c>
      <c r="N30" s="15">
        <v>0</v>
      </c>
      <c r="O30" s="15">
        <v>0</v>
      </c>
      <c r="P30" s="15">
        <v>0</v>
      </c>
      <c r="Q30" s="15">
        <v>0</v>
      </c>
      <c r="R30" s="15">
        <v>0</v>
      </c>
      <c r="S30" s="15">
        <v>0</v>
      </c>
      <c r="T30" s="15">
        <v>0</v>
      </c>
      <c r="U30" s="15">
        <v>0</v>
      </c>
      <c r="V30" s="15">
        <v>0</v>
      </c>
      <c r="W30" s="15">
        <v>0</v>
      </c>
      <c r="X30" s="15">
        <v>0</v>
      </c>
    </row>
    <row r="31" spans="1:24" s="6" customFormat="1" x14ac:dyDescent="0.25">
      <c r="A31" s="6" t="s">
        <v>45</v>
      </c>
      <c r="C31" s="12">
        <f>SUM(C22:C30)</f>
        <v>1362</v>
      </c>
      <c r="D31" s="12">
        <f>SUM(D22:D30)</f>
        <v>1257</v>
      </c>
      <c r="E31" s="12">
        <f t="shared" ref="E31:X31" si="15">SUM(E22:E30)</f>
        <v>1274</v>
      </c>
      <c r="F31" s="31">
        <f t="shared" si="15"/>
        <v>1391.05</v>
      </c>
      <c r="G31" s="12">
        <f t="shared" si="15"/>
        <v>1482.5689499999996</v>
      </c>
      <c r="H31" s="12">
        <f t="shared" si="15"/>
        <v>1535.6817502899996</v>
      </c>
      <c r="I31" s="12">
        <f t="shared" si="15"/>
        <v>1590.7703508982775</v>
      </c>
      <c r="J31" s="12">
        <f t="shared" si="15"/>
        <v>1647.9104135095358</v>
      </c>
      <c r="K31" s="12">
        <f t="shared" si="15"/>
        <v>1707.1806105005594</v>
      </c>
      <c r="L31" s="12">
        <f t="shared" si="15"/>
        <v>1768.6627505075319</v>
      </c>
      <c r="M31" s="12">
        <f t="shared" si="15"/>
        <v>1832.4419095129651</v>
      </c>
      <c r="N31" s="12">
        <f t="shared" si="15"/>
        <v>1898.6065677080774</v>
      </c>
      <c r="O31" s="12">
        <f t="shared" si="15"/>
        <v>1967.2487523988909</v>
      </c>
      <c r="P31" s="12">
        <f t="shared" si="15"/>
        <v>2038.4641872374141</v>
      </c>
      <c r="Q31" s="12">
        <f t="shared" si="15"/>
        <v>2112.3524480729898</v>
      </c>
      <c r="R31" s="12">
        <f t="shared" si="15"/>
        <v>2189.0171257333332</v>
      </c>
      <c r="S31" s="12">
        <f t="shared" si="15"/>
        <v>2268.565996059951</v>
      </c>
      <c r="T31" s="12">
        <f t="shared" si="15"/>
        <v>2351.1111975385757</v>
      </c>
      <c r="U31" s="12">
        <f t="shared" si="15"/>
        <v>2436.769416881993</v>
      </c>
      <c r="V31" s="12">
        <f t="shared" si="15"/>
        <v>2525.6620829402568</v>
      </c>
      <c r="W31" s="12">
        <f t="shared" si="15"/>
        <v>2617.9155693317939</v>
      </c>
      <c r="X31" s="12">
        <f t="shared" si="15"/>
        <v>2713.6614062083509</v>
      </c>
    </row>
    <row r="32" spans="1:24" x14ac:dyDescent="0.25">
      <c r="F32" s="21"/>
    </row>
    <row r="33" spans="1:24" x14ac:dyDescent="0.25">
      <c r="A33" t="s">
        <v>18</v>
      </c>
      <c r="C33" s="8">
        <v>178</v>
      </c>
      <c r="D33" s="8">
        <v>207</v>
      </c>
      <c r="E33" s="8">
        <v>229</v>
      </c>
      <c r="F33" s="24">
        <v>254</v>
      </c>
      <c r="G33" s="4">
        <f t="shared" ref="G33:X33" si="16">MAX((F42+(G31-G19)/2)*G11,0)</f>
        <v>303.71738073265624</v>
      </c>
      <c r="H33" s="4">
        <f t="shared" si="16"/>
        <v>373.50212024285702</v>
      </c>
      <c r="I33" s="4">
        <f t="shared" si="16"/>
        <v>427.14113050438846</v>
      </c>
      <c r="J33" s="4">
        <f t="shared" si="16"/>
        <v>440.81966091869822</v>
      </c>
      <c r="K33" s="4">
        <f t="shared" si="16"/>
        <v>445.38050253805051</v>
      </c>
      <c r="L33" s="4">
        <f t="shared" si="16"/>
        <v>439.6515222344612</v>
      </c>
      <c r="M33" s="4">
        <f t="shared" si="16"/>
        <v>425.0620285389906</v>
      </c>
      <c r="N33" s="4">
        <f t="shared" si="16"/>
        <v>403.35983481709843</v>
      </c>
      <c r="O33" s="4">
        <f t="shared" si="16"/>
        <v>373.77015015436439</v>
      </c>
      <c r="P33" s="4">
        <f t="shared" si="16"/>
        <v>335.28406094987542</v>
      </c>
      <c r="Q33" s="4">
        <f t="shared" si="16"/>
        <v>286.79506033456767</v>
      </c>
      <c r="R33" s="4">
        <f t="shared" si="16"/>
        <v>227.29560219982631</v>
      </c>
      <c r="S33" s="4">
        <f t="shared" si="16"/>
        <v>155.91124645600232</v>
      </c>
      <c r="T33" s="4">
        <f t="shared" si="16"/>
        <v>71.509234183819757</v>
      </c>
      <c r="U33" s="4">
        <f t="shared" si="16"/>
        <v>0</v>
      </c>
      <c r="V33" s="4">
        <f t="shared" si="16"/>
        <v>0</v>
      </c>
      <c r="W33" s="4">
        <f t="shared" si="16"/>
        <v>0</v>
      </c>
      <c r="X33" s="4">
        <f t="shared" si="16"/>
        <v>0</v>
      </c>
    </row>
    <row r="34" spans="1:24" s="6" customFormat="1" x14ac:dyDescent="0.25">
      <c r="A34" s="6" t="s">
        <v>46</v>
      </c>
      <c r="C34" s="12">
        <f>+C31+C33</f>
        <v>1540</v>
      </c>
      <c r="D34" s="12">
        <f t="shared" ref="D34:X34" si="17">+D31+D33</f>
        <v>1464</v>
      </c>
      <c r="E34" s="12">
        <f t="shared" si="17"/>
        <v>1503</v>
      </c>
      <c r="F34" s="31">
        <f t="shared" si="17"/>
        <v>1645.05</v>
      </c>
      <c r="G34" s="12">
        <f t="shared" si="17"/>
        <v>1786.2863307326559</v>
      </c>
      <c r="H34" s="12">
        <f t="shared" si="17"/>
        <v>1909.1838705328566</v>
      </c>
      <c r="I34" s="12">
        <f t="shared" si="17"/>
        <v>2017.9114814026659</v>
      </c>
      <c r="J34" s="12">
        <f t="shared" si="17"/>
        <v>2088.7300744282338</v>
      </c>
      <c r="K34" s="12">
        <f t="shared" si="17"/>
        <v>2152.5611130386101</v>
      </c>
      <c r="L34" s="12">
        <f t="shared" si="17"/>
        <v>2208.3142727419931</v>
      </c>
      <c r="M34" s="12">
        <f t="shared" si="17"/>
        <v>2257.5039380519556</v>
      </c>
      <c r="N34" s="12">
        <f t="shared" si="17"/>
        <v>2301.9664025251759</v>
      </c>
      <c r="O34" s="12">
        <f t="shared" si="17"/>
        <v>2341.0189025532554</v>
      </c>
      <c r="P34" s="12">
        <f t="shared" si="17"/>
        <v>2373.7482481872894</v>
      </c>
      <c r="Q34" s="12">
        <f t="shared" si="17"/>
        <v>2399.1475084075573</v>
      </c>
      <c r="R34" s="12">
        <f t="shared" si="17"/>
        <v>2416.3127279331593</v>
      </c>
      <c r="S34" s="12">
        <f t="shared" si="17"/>
        <v>2424.4772425159531</v>
      </c>
      <c r="T34" s="12">
        <f t="shared" si="17"/>
        <v>2422.6204317223956</v>
      </c>
      <c r="U34" s="12">
        <f t="shared" si="17"/>
        <v>2436.769416881993</v>
      </c>
      <c r="V34" s="12">
        <f t="shared" si="17"/>
        <v>2525.6620829402568</v>
      </c>
      <c r="W34" s="12">
        <f t="shared" si="17"/>
        <v>2617.9155693317939</v>
      </c>
      <c r="X34" s="12">
        <f t="shared" si="17"/>
        <v>2713.6614062083509</v>
      </c>
    </row>
    <row r="35" spans="1:24" x14ac:dyDescent="0.25">
      <c r="F35" s="21"/>
    </row>
    <row r="36" spans="1:24" x14ac:dyDescent="0.25">
      <c r="A36" s="42" t="s">
        <v>47</v>
      </c>
      <c r="C36" s="8">
        <v>21</v>
      </c>
      <c r="D36" s="8">
        <v>0</v>
      </c>
      <c r="E36" s="8">
        <v>0</v>
      </c>
      <c r="F36" s="48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</row>
    <row r="37" spans="1:24" x14ac:dyDescent="0.25">
      <c r="A37" t="s">
        <v>42</v>
      </c>
      <c r="C37" s="8">
        <f>10+15+2+13-11</f>
        <v>29</v>
      </c>
      <c r="D37" s="8">
        <v>26</v>
      </c>
      <c r="E37" s="8">
        <v>-25</v>
      </c>
      <c r="F37" s="48">
        <v>4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</row>
    <row r="38" spans="1:24" x14ac:dyDescent="0.25">
      <c r="F38" s="21"/>
    </row>
    <row r="39" spans="1:24" x14ac:dyDescent="0.25">
      <c r="A39" s="6" t="s">
        <v>20</v>
      </c>
      <c r="C39" s="11">
        <f t="shared" ref="C39:X39" si="18">+C19-C34+C36+C37</f>
        <v>-763</v>
      </c>
      <c r="D39" s="11">
        <f t="shared" si="18"/>
        <v>-583</v>
      </c>
      <c r="E39" s="11">
        <f t="shared" si="18"/>
        <v>-529</v>
      </c>
      <c r="F39" s="23">
        <f t="shared" si="18"/>
        <v>-479.875</v>
      </c>
      <c r="G39" s="11">
        <f t="shared" si="18"/>
        <v>-462.06762210765578</v>
      </c>
      <c r="H39" s="11">
        <f t="shared" si="18"/>
        <v>-401.51215758598187</v>
      </c>
      <c r="I39" s="11">
        <f t="shared" si="18"/>
        <v>-308.26925459672862</v>
      </c>
      <c r="J39" s="11">
        <f t="shared" si="18"/>
        <v>-161.36028962790579</v>
      </c>
      <c r="K39" s="11">
        <f t="shared" si="18"/>
        <v>4.7713940301423463</v>
      </c>
      <c r="L39" s="11">
        <f t="shared" si="18"/>
        <v>191.92359639309279</v>
      </c>
      <c r="M39" s="11">
        <f t="shared" si="18"/>
        <v>308.98235381806262</v>
      </c>
      <c r="N39" s="11">
        <f t="shared" si="18"/>
        <v>436.12629730023627</v>
      </c>
      <c r="O39" s="11">
        <f t="shared" si="18"/>
        <v>579.78620945363355</v>
      </c>
      <c r="P39" s="11">
        <f t="shared" si="18"/>
        <v>741.56951990048628</v>
      </c>
      <c r="Q39" s="11">
        <f t="shared" si="18"/>
        <v>923.21950122508179</v>
      </c>
      <c r="R39" s="11">
        <f t="shared" si="18"/>
        <v>1119.5952280677047</v>
      </c>
      <c r="S39" s="11">
        <f t="shared" si="18"/>
        <v>1331.2676524702524</v>
      </c>
      <c r="T39" s="11">
        <f t="shared" si="18"/>
        <v>1566.5347688746824</v>
      </c>
      <c r="U39" s="11">
        <f t="shared" si="18"/>
        <v>1784.3887644569354</v>
      </c>
      <c r="V39" s="11">
        <f t="shared" si="18"/>
        <v>1920.4444693602322</v>
      </c>
      <c r="W39" s="11">
        <f t="shared" si="18"/>
        <v>2055.9745994004056</v>
      </c>
      <c r="X39" s="11">
        <f t="shared" si="18"/>
        <v>2177.3001599022191</v>
      </c>
    </row>
    <row r="40" spans="1:24" x14ac:dyDescent="0.25">
      <c r="A40" t="s">
        <v>38</v>
      </c>
      <c r="C40" s="4">
        <f t="shared" ref="C40:X40" si="19">+C39+C33</f>
        <v>-585</v>
      </c>
      <c r="D40" s="4">
        <f t="shared" si="19"/>
        <v>-376</v>
      </c>
      <c r="E40" s="43">
        <f t="shared" si="19"/>
        <v>-300</v>
      </c>
      <c r="F40" s="24">
        <f t="shared" si="19"/>
        <v>-225.875</v>
      </c>
      <c r="G40" s="4">
        <f t="shared" si="19"/>
        <v>-158.35024137499954</v>
      </c>
      <c r="H40" s="4">
        <f t="shared" si="19"/>
        <v>-28.01003734312485</v>
      </c>
      <c r="I40" s="4">
        <f t="shared" si="19"/>
        <v>118.87187590765984</v>
      </c>
      <c r="J40" s="4">
        <f t="shared" si="19"/>
        <v>279.45937129079243</v>
      </c>
      <c r="K40" s="4">
        <f t="shared" si="19"/>
        <v>450.15189656819285</v>
      </c>
      <c r="L40" s="4">
        <f t="shared" si="19"/>
        <v>631.57511862755405</v>
      </c>
      <c r="M40" s="4">
        <f t="shared" si="19"/>
        <v>734.04438235705322</v>
      </c>
      <c r="N40" s="4">
        <f t="shared" si="19"/>
        <v>839.48613211733471</v>
      </c>
      <c r="O40" s="4">
        <f t="shared" si="19"/>
        <v>953.55635960799793</v>
      </c>
      <c r="P40" s="4">
        <f t="shared" si="19"/>
        <v>1076.8535808503616</v>
      </c>
      <c r="Q40" s="4">
        <f t="shared" si="19"/>
        <v>1210.0145615596493</v>
      </c>
      <c r="R40" s="4">
        <f t="shared" si="19"/>
        <v>1346.8908302675311</v>
      </c>
      <c r="S40" s="4">
        <f t="shared" si="19"/>
        <v>1487.1788989262548</v>
      </c>
      <c r="T40" s="4">
        <f t="shared" si="19"/>
        <v>1638.0440030585021</v>
      </c>
      <c r="U40" s="4">
        <f t="shared" si="19"/>
        <v>1784.3887644569354</v>
      </c>
      <c r="V40" s="4">
        <f t="shared" si="19"/>
        <v>1920.4444693602322</v>
      </c>
      <c r="W40" s="4">
        <f t="shared" si="19"/>
        <v>2055.9745994004056</v>
      </c>
      <c r="X40" s="4">
        <f t="shared" si="19"/>
        <v>2177.3001599022191</v>
      </c>
    </row>
    <row r="41" spans="1:24" x14ac:dyDescent="0.25">
      <c r="F41" s="21"/>
    </row>
    <row r="42" spans="1:24" x14ac:dyDescent="0.25">
      <c r="A42" s="21" t="s">
        <v>26</v>
      </c>
      <c r="B42" s="21"/>
      <c r="C42" s="22">
        <v>4735</v>
      </c>
      <c r="D42" s="22">
        <v>5318</v>
      </c>
      <c r="E42" s="22">
        <v>5835</v>
      </c>
      <c r="F42" s="23">
        <f t="shared" ref="F42:X42" si="20">MAX(0,+E42-F39)</f>
        <v>6314.875</v>
      </c>
      <c r="G42" s="23">
        <f t="shared" si="20"/>
        <v>6776.9426221076556</v>
      </c>
      <c r="H42" s="23">
        <f t="shared" si="20"/>
        <v>7178.4547796936376</v>
      </c>
      <c r="I42" s="23">
        <f t="shared" si="20"/>
        <v>7486.724034290366</v>
      </c>
      <c r="J42" s="23">
        <f t="shared" si="20"/>
        <v>7648.0843239182723</v>
      </c>
      <c r="K42" s="23">
        <f t="shared" si="20"/>
        <v>7643.3129298881304</v>
      </c>
      <c r="L42" s="23">
        <f t="shared" si="20"/>
        <v>7451.3893334950371</v>
      </c>
      <c r="M42" s="23">
        <f t="shared" si="20"/>
        <v>7142.4069796769745</v>
      </c>
      <c r="N42" s="23">
        <f t="shared" si="20"/>
        <v>6706.2806823767387</v>
      </c>
      <c r="O42" s="23">
        <f t="shared" si="20"/>
        <v>6126.4944729231047</v>
      </c>
      <c r="P42" s="23">
        <f t="shared" si="20"/>
        <v>5384.9249530226189</v>
      </c>
      <c r="Q42" s="23">
        <f t="shared" si="20"/>
        <v>4461.7054517975375</v>
      </c>
      <c r="R42" s="23">
        <f t="shared" si="20"/>
        <v>3342.1102237298328</v>
      </c>
      <c r="S42" s="23">
        <f t="shared" si="20"/>
        <v>2010.8425712595804</v>
      </c>
      <c r="T42" s="23">
        <f t="shared" si="20"/>
        <v>444.30780238489797</v>
      </c>
      <c r="U42" s="23">
        <f t="shared" si="20"/>
        <v>0</v>
      </c>
      <c r="V42" s="23">
        <f t="shared" si="20"/>
        <v>0</v>
      </c>
      <c r="W42" s="23">
        <f t="shared" si="20"/>
        <v>0</v>
      </c>
      <c r="X42" s="23">
        <f t="shared" si="20"/>
        <v>0</v>
      </c>
    </row>
    <row r="43" spans="1:24" x14ac:dyDescent="0.25">
      <c r="A43" s="21" t="s">
        <v>27</v>
      </c>
      <c r="B43" s="21"/>
      <c r="C43" s="22">
        <v>4731</v>
      </c>
      <c r="D43" s="22">
        <v>4752</v>
      </c>
      <c r="E43" s="22">
        <v>4776</v>
      </c>
      <c r="F43" s="24">
        <f t="shared" ref="F43:X43" si="21">IF(F42&gt;0,E43+F44,MAX(0,E43+F44-(F39-(E42-F42))))</f>
        <v>4883</v>
      </c>
      <c r="G43" s="24">
        <f t="shared" si="21"/>
        <v>5383</v>
      </c>
      <c r="H43" s="24">
        <f t="shared" si="21"/>
        <v>5983</v>
      </c>
      <c r="I43" s="24">
        <f t="shared" si="21"/>
        <v>6683</v>
      </c>
      <c r="J43" s="24">
        <f t="shared" si="21"/>
        <v>7383</v>
      </c>
      <c r="K43" s="24">
        <f t="shared" si="21"/>
        <v>7545</v>
      </c>
      <c r="L43" s="24">
        <f t="shared" si="21"/>
        <v>7545</v>
      </c>
      <c r="M43" s="24">
        <f t="shared" si="21"/>
        <v>7545</v>
      </c>
      <c r="N43" s="24">
        <f t="shared" si="21"/>
        <v>7545</v>
      </c>
      <c r="O43" s="24">
        <f t="shared" si="21"/>
        <v>7545</v>
      </c>
      <c r="P43" s="24">
        <f t="shared" si="21"/>
        <v>7545</v>
      </c>
      <c r="Q43" s="24">
        <f t="shared" si="21"/>
        <v>7545</v>
      </c>
      <c r="R43" s="24">
        <f t="shared" si="21"/>
        <v>7545</v>
      </c>
      <c r="S43" s="24">
        <f t="shared" si="21"/>
        <v>7545</v>
      </c>
      <c r="T43" s="24">
        <f t="shared" si="21"/>
        <v>7545</v>
      </c>
      <c r="U43" s="24">
        <f t="shared" si="21"/>
        <v>6204.9190379279626</v>
      </c>
      <c r="V43" s="24">
        <f t="shared" si="21"/>
        <v>4284.4745685677299</v>
      </c>
      <c r="W43" s="24">
        <f t="shared" si="21"/>
        <v>2228.4999691673243</v>
      </c>
      <c r="X43" s="24">
        <f t="shared" si="21"/>
        <v>51.199809265105159</v>
      </c>
    </row>
    <row r="44" spans="1:24" x14ac:dyDescent="0.25">
      <c r="A44" t="s">
        <v>31</v>
      </c>
      <c r="D44" s="11"/>
      <c r="E44" s="11"/>
      <c r="F44" s="48">
        <v>107</v>
      </c>
      <c r="G44">
        <f>IF(SUM($D44:F44)&lt;(7500-$C43),IF((10000*G6/1000+SUM($D44:F44))&lt;(7500-$C43),10000*G6/1000,7500-$C43-SUM($D44:F44)),0)</f>
        <v>500</v>
      </c>
      <c r="H44">
        <f>IF(SUM($D44:G44)&lt;(7500-$C43),IF((10000*H6/1000+SUM($D44:G44))&lt;(7500-$C43),10000*H6/1000,7500-$C43-SUM($D44:G44)),0)</f>
        <v>600</v>
      </c>
      <c r="I44">
        <f>IF(SUM($D44:H44)&lt;(7500-$C43),IF((10000*I6/1000+SUM($D44:H44))&lt;(7500-$C43),10000*I6/1000,7500-$C43-SUM($D44:H44)),0)</f>
        <v>700</v>
      </c>
      <c r="J44">
        <f>IF(SUM($D44:I44)&lt;(7500-$C43),IF((10000*J6/1000+SUM($D44:I44))&lt;(7500-$C43),10000*J6/1000,7500-$C43-SUM($D44:I44)),0)</f>
        <v>700</v>
      </c>
      <c r="K44">
        <f>IF(SUM($D44:J44)&lt;(7500-$C43),IF((10000*K6/1000+SUM($D44:J44))&lt;(7500-$C43),10000*K6/1000,7500-$C43-SUM($D44:J44)),0)</f>
        <v>162</v>
      </c>
      <c r="L44">
        <f>IF(SUM($D44:K44)&lt;(7500-$C43),IF((10000*L6/1000+SUM($D44:K44))&lt;(7500-$C43),10000*L6/1000,7500-$C43-SUM($D44:K44)),0)</f>
        <v>0</v>
      </c>
      <c r="M44">
        <f>IF(SUM($D44:L44)&lt;(7500-$C43),IF((10000*M6/1000+SUM($D44:L44))&lt;(7500-$C43),10000*M6/1000,7500-$C43-SUM($D44:L44)),0)</f>
        <v>0</v>
      </c>
      <c r="N44">
        <f>IF(SUM($D44:M44)&lt;(7500-$C43),IF((10000*N6/1000+SUM($D44:M44))&lt;(7500-$C43),10000*N6/1000,7500-$C43-SUM($D44:M44)),0)</f>
        <v>0</v>
      </c>
      <c r="O44">
        <f>IF(SUM($D44:N44)&lt;(7500-$C43),IF((10000*O6/1000+SUM($D44:N44))&lt;(7500-$C43),10000*O6/1000,7500-$C43-SUM($D44:N44)),0)</f>
        <v>0</v>
      </c>
      <c r="P44">
        <f>IF(SUM($D44:O44)&lt;(7500-$C43),IF((10000*P6/1000+SUM($D44:O44))&lt;(7500-$C43),10000*P6/1000,7500-$C43-SUM($D44:O44)),0)</f>
        <v>0</v>
      </c>
      <c r="Q44">
        <f>IF(SUM($D44:P44)&lt;(7500-$C43),IF((10000*Q6/1000+SUM($D44:P44))&lt;(7500-$C43),10000*Q6/1000,7500-$C43-SUM($D44:P44)),0)</f>
        <v>0</v>
      </c>
      <c r="R44">
        <f>IF(SUM($D44:Q44)&lt;(7500-$C43),IF((10000*R6/1000+SUM($D44:Q44))&lt;(7500-$C43),10000*R6/1000,7500-$C43-SUM($D44:Q44)),0)</f>
        <v>0</v>
      </c>
      <c r="S44">
        <f>IF(SUM($D44:R44)&lt;(7500-$C43),IF((10000*S6/1000+SUM($D44:R44))&lt;(7500-$C43),10000*S6/1000,7500-$C43-SUM($D44:R44)),0)</f>
        <v>0</v>
      </c>
      <c r="T44">
        <f>IF(SUM($D44:S44)&lt;(7500-$C43),IF((10000*T6/1000+SUM($D44:S44))&lt;(7500-$C43),10000*T6/1000,7500-$C43-SUM($D44:S44)),0)</f>
        <v>0</v>
      </c>
      <c r="U44">
        <f>IF(SUM($D44:T44)&lt;(7500-$C43),IF((10000*U6/1000+SUM($D44:T44))&lt;(7500-$C43),10000*U6/1000,7500-$C43-SUM($D44:T44)),0)</f>
        <v>0</v>
      </c>
      <c r="V44">
        <f>IF(SUM($D44:U44)&lt;(7500-$C43),IF((10000*V6/1000+SUM($D44:U44))&lt;(7500-$C43),10000*V6/1000,7500-$C43-SUM($D44:U44)),0)</f>
        <v>0</v>
      </c>
      <c r="W44">
        <f>IF(SUM($D44:V44)&lt;(7500-$C43),IF((10000*W6/1000+SUM($D44:V44))&lt;(7500-$C43),10000*W6/1000,7500-$C43-SUM($D44:V44)),0)</f>
        <v>0</v>
      </c>
      <c r="X44">
        <f>IF(SUM($D44:W44)&lt;(7500-$C43),IF((10000*X6/1000+SUM($D44:W44))&lt;(7500-$C43),10000*X6/1000,7500-$C43-SUM($D44:W44)),0)</f>
        <v>0</v>
      </c>
    </row>
    <row r="45" spans="1:24" x14ac:dyDescent="0.25">
      <c r="D45" s="11"/>
    </row>
    <row r="69" spans="1:11" x14ac:dyDescent="0.25">
      <c r="C69" s="4"/>
    </row>
    <row r="79" spans="1:11" x14ac:dyDescent="0.25">
      <c r="A79" t="s">
        <v>34</v>
      </c>
      <c r="C79">
        <v>3638</v>
      </c>
      <c r="D79">
        <v>3445</v>
      </c>
      <c r="E79">
        <v>3277</v>
      </c>
      <c r="F79">
        <v>2814</v>
      </c>
      <c r="G79">
        <v>2312</v>
      </c>
      <c r="H79">
        <v>1676</v>
      </c>
      <c r="I79">
        <v>1159</v>
      </c>
      <c r="J79">
        <v>412</v>
      </c>
      <c r="K79">
        <v>0</v>
      </c>
    </row>
  </sheetData>
  <pageMargins left="0.7" right="0.7" top="0.75" bottom="0.75" header="0.3" footer="0.3"/>
  <pageSetup paperSize="3" scale="7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Y79"/>
  <sheetViews>
    <sheetView workbookViewId="0">
      <selection activeCell="G40" sqref="G40"/>
    </sheetView>
  </sheetViews>
  <sheetFormatPr defaultRowHeight="15" x14ac:dyDescent="0.25"/>
  <cols>
    <col min="1" max="1" width="24.5703125" customWidth="1"/>
    <col min="2" max="2" width="11.140625" customWidth="1"/>
    <col min="3" max="3" width="11.5703125" bestFit="1" customWidth="1"/>
    <col min="4" max="4" width="9.5703125" bestFit="1" customWidth="1"/>
    <col min="5" max="5" width="10.5703125" customWidth="1"/>
    <col min="6" max="6" width="10" bestFit="1" customWidth="1"/>
    <col min="7" max="7" width="9.42578125" bestFit="1" customWidth="1"/>
    <col min="8" max="24" width="8.5703125" customWidth="1"/>
  </cols>
  <sheetData>
    <row r="1" spans="1:25" ht="25.7" x14ac:dyDescent="0.5">
      <c r="A1" s="19" t="s">
        <v>22</v>
      </c>
      <c r="D1" s="50"/>
    </row>
    <row r="2" spans="1:25" ht="18" x14ac:dyDescent="0.35">
      <c r="A2" s="20" t="s">
        <v>52</v>
      </c>
    </row>
    <row r="3" spans="1:25" ht="14.45" x14ac:dyDescent="0.3">
      <c r="A3" t="s">
        <v>28</v>
      </c>
      <c r="C3" s="14">
        <v>2009</v>
      </c>
      <c r="D3" s="14">
        <v>2010</v>
      </c>
      <c r="E3" s="14">
        <v>2011</v>
      </c>
      <c r="F3" s="14">
        <v>2012</v>
      </c>
      <c r="G3" s="27">
        <f t="shared" ref="G3:V3" si="0">+F3+1</f>
        <v>2013</v>
      </c>
      <c r="H3" s="14">
        <f t="shared" si="0"/>
        <v>2014</v>
      </c>
      <c r="I3" s="14">
        <f t="shared" si="0"/>
        <v>2015</v>
      </c>
      <c r="J3" s="14">
        <f t="shared" si="0"/>
        <v>2016</v>
      </c>
      <c r="K3" s="14">
        <f t="shared" si="0"/>
        <v>2017</v>
      </c>
      <c r="L3" s="14">
        <f t="shared" si="0"/>
        <v>2018</v>
      </c>
      <c r="M3" s="14">
        <f t="shared" si="0"/>
        <v>2019</v>
      </c>
      <c r="N3" s="14">
        <f t="shared" si="0"/>
        <v>2020</v>
      </c>
      <c r="O3" s="14">
        <f t="shared" si="0"/>
        <v>2021</v>
      </c>
      <c r="P3" s="14">
        <f t="shared" si="0"/>
        <v>2022</v>
      </c>
      <c r="Q3" s="14">
        <f t="shared" si="0"/>
        <v>2023</v>
      </c>
      <c r="R3" s="14">
        <f t="shared" si="0"/>
        <v>2024</v>
      </c>
      <c r="S3" s="14">
        <f t="shared" si="0"/>
        <v>2025</v>
      </c>
      <c r="T3" s="14">
        <f t="shared" si="0"/>
        <v>2026</v>
      </c>
      <c r="U3" s="14">
        <f t="shared" si="0"/>
        <v>2027</v>
      </c>
      <c r="V3" s="14">
        <f t="shared" si="0"/>
        <v>2028</v>
      </c>
      <c r="W3" s="14">
        <f>+V3+1</f>
        <v>2029</v>
      </c>
      <c r="X3" s="14">
        <f>+W3+1</f>
        <v>2030</v>
      </c>
    </row>
    <row r="4" spans="1:25" ht="14.45" x14ac:dyDescent="0.3">
      <c r="G4" s="21"/>
    </row>
    <row r="5" spans="1:25" ht="14.45" x14ac:dyDescent="0.3">
      <c r="A5" s="1" t="s">
        <v>50</v>
      </c>
      <c r="C5">
        <v>335</v>
      </c>
      <c r="D5">
        <f>+C5+D6</f>
        <v>375</v>
      </c>
      <c r="E5">
        <f t="shared" ref="E5:X5" si="1">+D5+E6</f>
        <v>418</v>
      </c>
      <c r="F5">
        <f t="shared" si="1"/>
        <v>476</v>
      </c>
      <c r="G5" s="21">
        <f t="shared" si="1"/>
        <v>522</v>
      </c>
      <c r="H5">
        <f t="shared" si="1"/>
        <v>572</v>
      </c>
      <c r="I5">
        <f t="shared" si="1"/>
        <v>632</v>
      </c>
      <c r="J5">
        <f t="shared" si="1"/>
        <v>692</v>
      </c>
      <c r="K5">
        <f t="shared" si="1"/>
        <v>752</v>
      </c>
      <c r="L5">
        <f t="shared" si="1"/>
        <v>812</v>
      </c>
      <c r="M5">
        <f t="shared" si="1"/>
        <v>872</v>
      </c>
      <c r="N5">
        <f t="shared" si="1"/>
        <v>932</v>
      </c>
      <c r="O5">
        <f t="shared" si="1"/>
        <v>992</v>
      </c>
      <c r="P5">
        <f t="shared" si="1"/>
        <v>1052</v>
      </c>
      <c r="Q5">
        <f t="shared" si="1"/>
        <v>1112</v>
      </c>
      <c r="R5">
        <f t="shared" si="1"/>
        <v>1162</v>
      </c>
      <c r="S5">
        <f t="shared" si="1"/>
        <v>1212</v>
      </c>
      <c r="T5">
        <f t="shared" si="1"/>
        <v>1262</v>
      </c>
      <c r="U5">
        <f t="shared" si="1"/>
        <v>1312</v>
      </c>
      <c r="V5">
        <f t="shared" si="1"/>
        <v>1362</v>
      </c>
      <c r="W5">
        <f t="shared" si="1"/>
        <v>1391</v>
      </c>
      <c r="X5">
        <f t="shared" si="1"/>
        <v>1391</v>
      </c>
    </row>
    <row r="6" spans="1:25" ht="14.45" x14ac:dyDescent="0.3">
      <c r="A6" s="1" t="s">
        <v>51</v>
      </c>
      <c r="D6" s="3">
        <v>40</v>
      </c>
      <c r="E6" s="3">
        <v>43</v>
      </c>
      <c r="F6" s="3">
        <v>58</v>
      </c>
      <c r="G6" s="28">
        <v>46</v>
      </c>
      <c r="H6" s="3">
        <v>50</v>
      </c>
      <c r="I6" s="3">
        <v>60</v>
      </c>
      <c r="J6" s="3">
        <v>60</v>
      </c>
      <c r="K6" s="3">
        <v>60</v>
      </c>
      <c r="L6" s="3">
        <v>60</v>
      </c>
      <c r="M6" s="3">
        <v>60</v>
      </c>
      <c r="N6" s="3">
        <v>60</v>
      </c>
      <c r="O6" s="3">
        <v>60</v>
      </c>
      <c r="P6" s="3">
        <v>60</v>
      </c>
      <c r="Q6" s="3">
        <v>60</v>
      </c>
      <c r="R6" s="3">
        <v>50</v>
      </c>
      <c r="S6" s="3">
        <v>50</v>
      </c>
      <c r="T6" s="3">
        <v>50</v>
      </c>
      <c r="U6" s="3">
        <v>50</v>
      </c>
      <c r="V6" s="3">
        <v>50</v>
      </c>
      <c r="W6" s="3">
        <v>29</v>
      </c>
      <c r="X6" s="3">
        <v>0</v>
      </c>
      <c r="Y6" s="2"/>
    </row>
    <row r="7" spans="1:25" ht="14.45" x14ac:dyDescent="0.3">
      <c r="A7" t="s">
        <v>32</v>
      </c>
      <c r="D7" s="33">
        <f>+D8/C8-1</f>
        <v>9.8654708520179435E-2</v>
      </c>
      <c r="E7" s="33">
        <v>0</v>
      </c>
      <c r="F7" s="33">
        <v>0.05</v>
      </c>
      <c r="G7" s="53">
        <f>+F7</f>
        <v>0.05</v>
      </c>
      <c r="H7" s="26">
        <f t="shared" ref="H7:X7" si="2">+G7</f>
        <v>0.05</v>
      </c>
      <c r="I7" s="26">
        <f t="shared" si="2"/>
        <v>0.05</v>
      </c>
      <c r="J7" s="26">
        <f t="shared" si="2"/>
        <v>0.05</v>
      </c>
      <c r="K7" s="26">
        <f t="shared" si="2"/>
        <v>0.05</v>
      </c>
      <c r="L7" s="26">
        <f t="shared" si="2"/>
        <v>0.05</v>
      </c>
      <c r="M7" s="26">
        <f t="shared" si="2"/>
        <v>0.05</v>
      </c>
      <c r="N7" s="26">
        <f t="shared" si="2"/>
        <v>0.05</v>
      </c>
      <c r="O7" s="26">
        <f t="shared" si="2"/>
        <v>0.05</v>
      </c>
      <c r="P7" s="26">
        <f t="shared" si="2"/>
        <v>0.05</v>
      </c>
      <c r="Q7" s="26">
        <f t="shared" si="2"/>
        <v>0.05</v>
      </c>
      <c r="R7" s="26">
        <f t="shared" si="2"/>
        <v>0.05</v>
      </c>
      <c r="S7" s="26">
        <f t="shared" si="2"/>
        <v>0.05</v>
      </c>
      <c r="T7" s="26">
        <f t="shared" si="2"/>
        <v>0.05</v>
      </c>
      <c r="U7" s="26">
        <f t="shared" si="2"/>
        <v>0.05</v>
      </c>
      <c r="V7" s="26">
        <f t="shared" si="2"/>
        <v>0.05</v>
      </c>
      <c r="W7" s="26">
        <f t="shared" si="2"/>
        <v>0.05</v>
      </c>
      <c r="X7" s="26">
        <f t="shared" si="2"/>
        <v>0.05</v>
      </c>
      <c r="Y7" s="2"/>
    </row>
    <row r="8" spans="1:25" ht="14.45" x14ac:dyDescent="0.3">
      <c r="A8" t="s">
        <v>3</v>
      </c>
      <c r="C8" s="3">
        <f>55.75*12</f>
        <v>669</v>
      </c>
      <c r="D8" s="3">
        <v>735</v>
      </c>
      <c r="E8" s="3">
        <v>735</v>
      </c>
      <c r="F8" s="3">
        <v>772</v>
      </c>
      <c r="G8" s="24">
        <f t="shared" ref="G8:X8" si="3">+F8*(1+G7)</f>
        <v>810.6</v>
      </c>
      <c r="H8" s="4">
        <f t="shared" si="3"/>
        <v>851.13000000000011</v>
      </c>
      <c r="I8" s="4">
        <f t="shared" si="3"/>
        <v>893.68650000000014</v>
      </c>
      <c r="J8" s="4">
        <f t="shared" si="3"/>
        <v>938.3708250000002</v>
      </c>
      <c r="K8" s="4">
        <f t="shared" si="3"/>
        <v>985.28936625000028</v>
      </c>
      <c r="L8" s="4">
        <f t="shared" si="3"/>
        <v>1034.5538345625002</v>
      </c>
      <c r="M8" s="4">
        <f t="shared" si="3"/>
        <v>1086.2815262906254</v>
      </c>
      <c r="N8" s="4">
        <f t="shared" si="3"/>
        <v>1140.5956026051567</v>
      </c>
      <c r="O8" s="4">
        <f t="shared" si="3"/>
        <v>1197.6253827354146</v>
      </c>
      <c r="P8" s="4">
        <f t="shared" si="3"/>
        <v>1257.5066518721853</v>
      </c>
      <c r="Q8" s="4">
        <f t="shared" si="3"/>
        <v>1320.3819844657946</v>
      </c>
      <c r="R8" s="4">
        <f t="shared" si="3"/>
        <v>1386.4010836890843</v>
      </c>
      <c r="S8" s="4">
        <f t="shared" si="3"/>
        <v>1455.7211378735385</v>
      </c>
      <c r="T8" s="4">
        <f t="shared" si="3"/>
        <v>1528.5071947672154</v>
      </c>
      <c r="U8" s="4">
        <f t="shared" si="3"/>
        <v>1604.9325545055763</v>
      </c>
      <c r="V8" s="4">
        <f t="shared" si="3"/>
        <v>1685.1791822308551</v>
      </c>
      <c r="W8" s="4">
        <f t="shared" si="3"/>
        <v>1769.438141342398</v>
      </c>
      <c r="X8" s="4">
        <f t="shared" si="3"/>
        <v>1857.9100484095179</v>
      </c>
    </row>
    <row r="9" spans="1:25" ht="14.45" x14ac:dyDescent="0.3">
      <c r="A9" t="s">
        <v>4</v>
      </c>
      <c r="E9" s="44"/>
      <c r="F9" s="51"/>
      <c r="G9" s="36">
        <v>3.5000000000000003E-2</v>
      </c>
      <c r="H9" s="17">
        <f t="shared" ref="H9:X9" si="4">+G9</f>
        <v>3.5000000000000003E-2</v>
      </c>
      <c r="I9" s="17">
        <f t="shared" si="4"/>
        <v>3.5000000000000003E-2</v>
      </c>
      <c r="J9" s="17">
        <f t="shared" si="4"/>
        <v>3.5000000000000003E-2</v>
      </c>
      <c r="K9" s="17">
        <f t="shared" si="4"/>
        <v>3.5000000000000003E-2</v>
      </c>
      <c r="L9" s="17">
        <f t="shared" si="4"/>
        <v>3.5000000000000003E-2</v>
      </c>
      <c r="M9" s="17">
        <f t="shared" si="4"/>
        <v>3.5000000000000003E-2</v>
      </c>
      <c r="N9" s="17">
        <f t="shared" si="4"/>
        <v>3.5000000000000003E-2</v>
      </c>
      <c r="O9" s="17">
        <f t="shared" si="4"/>
        <v>3.5000000000000003E-2</v>
      </c>
      <c r="P9" s="17">
        <f t="shared" si="4"/>
        <v>3.5000000000000003E-2</v>
      </c>
      <c r="Q9" s="17">
        <f t="shared" si="4"/>
        <v>3.5000000000000003E-2</v>
      </c>
      <c r="R9" s="17">
        <f t="shared" si="4"/>
        <v>3.5000000000000003E-2</v>
      </c>
      <c r="S9" s="17">
        <f t="shared" si="4"/>
        <v>3.5000000000000003E-2</v>
      </c>
      <c r="T9" s="17">
        <f t="shared" si="4"/>
        <v>3.5000000000000003E-2</v>
      </c>
      <c r="U9" s="17">
        <f t="shared" si="4"/>
        <v>3.5000000000000003E-2</v>
      </c>
      <c r="V9" s="17">
        <f t="shared" si="4"/>
        <v>3.5000000000000003E-2</v>
      </c>
      <c r="W9" s="17">
        <f t="shared" si="4"/>
        <v>3.5000000000000003E-2</v>
      </c>
      <c r="X9" s="17">
        <f t="shared" si="4"/>
        <v>3.5000000000000003E-2</v>
      </c>
    </row>
    <row r="10" spans="1:25" ht="14.45" x14ac:dyDescent="0.3">
      <c r="A10" t="s">
        <v>24</v>
      </c>
      <c r="E10" s="45"/>
      <c r="F10" s="45"/>
      <c r="G10" s="37"/>
      <c r="H10" s="16">
        <v>25</v>
      </c>
      <c r="I10" s="16">
        <v>25</v>
      </c>
      <c r="J10" s="16">
        <v>25</v>
      </c>
      <c r="K10" s="16">
        <v>25</v>
      </c>
      <c r="L10" s="16">
        <v>25</v>
      </c>
      <c r="M10" s="16">
        <v>25</v>
      </c>
      <c r="N10" s="16">
        <v>25</v>
      </c>
      <c r="O10" s="16">
        <v>25</v>
      </c>
      <c r="P10" s="16">
        <v>25</v>
      </c>
      <c r="Q10" s="16">
        <v>25</v>
      </c>
      <c r="R10" s="16">
        <v>25</v>
      </c>
      <c r="S10" s="16">
        <v>25</v>
      </c>
      <c r="T10" s="16">
        <v>0</v>
      </c>
      <c r="U10" s="16">
        <v>0</v>
      </c>
      <c r="V10" s="16">
        <v>0</v>
      </c>
      <c r="W10" s="16">
        <v>0</v>
      </c>
      <c r="X10" s="16">
        <v>0</v>
      </c>
    </row>
    <row r="11" spans="1:25" x14ac:dyDescent="0.25">
      <c r="A11" t="s">
        <v>25</v>
      </c>
      <c r="D11" s="18">
        <v>4.2500000000000003E-2</v>
      </c>
      <c r="E11" s="46">
        <v>4.2500000000000003E-2</v>
      </c>
      <c r="F11" s="46">
        <v>4.2500000000000003E-2</v>
      </c>
      <c r="G11" s="60">
        <v>3.2500000000000001E-2</v>
      </c>
      <c r="H11" s="61">
        <v>3.2500000000000001E-2</v>
      </c>
      <c r="I11" s="61">
        <v>3.2500000000000001E-2</v>
      </c>
      <c r="J11" s="18">
        <v>4.2500000000000003E-2</v>
      </c>
      <c r="K11" s="18">
        <v>4.2500000000000003E-2</v>
      </c>
      <c r="L11" s="18">
        <v>4.2500000000000003E-2</v>
      </c>
      <c r="M11" s="18">
        <v>4.2500000000000003E-2</v>
      </c>
      <c r="N11" s="18">
        <v>4.2500000000000003E-2</v>
      </c>
      <c r="O11" s="18">
        <v>4.2500000000000003E-2</v>
      </c>
      <c r="P11" s="18">
        <v>4.2500000000000003E-2</v>
      </c>
      <c r="Q11" s="18">
        <v>4.2500000000000003E-2</v>
      </c>
      <c r="R11" s="18">
        <v>4.2500000000000003E-2</v>
      </c>
      <c r="S11" s="18">
        <v>4.2500000000000003E-2</v>
      </c>
      <c r="T11" s="18">
        <v>4.2500000000000003E-2</v>
      </c>
      <c r="U11" s="18">
        <v>4.2500000000000003E-2</v>
      </c>
      <c r="V11" s="18">
        <v>4.2500000000000003E-2</v>
      </c>
      <c r="W11" s="18">
        <v>4.2500000000000003E-2</v>
      </c>
      <c r="X11" s="18">
        <v>4.2500000000000003E-2</v>
      </c>
    </row>
    <row r="12" spans="1:25" x14ac:dyDescent="0.25">
      <c r="G12" s="21"/>
    </row>
    <row r="13" spans="1:25" x14ac:dyDescent="0.25">
      <c r="A13" s="7" t="s">
        <v>41</v>
      </c>
      <c r="G13" s="21"/>
    </row>
    <row r="14" spans="1:25" x14ac:dyDescent="0.25">
      <c r="A14" t="s">
        <v>2</v>
      </c>
      <c r="C14" s="3">
        <v>214</v>
      </c>
      <c r="D14" s="3">
        <v>267</v>
      </c>
      <c r="E14" s="3">
        <v>297</v>
      </c>
      <c r="F14" s="34">
        <v>348</v>
      </c>
      <c r="G14" s="24">
        <v>407</v>
      </c>
      <c r="H14" s="4">
        <f t="shared" ref="H14:X14" si="5">+(H5+G5)/2*H8/1000</f>
        <v>465.56811000000005</v>
      </c>
      <c r="I14" s="4">
        <f t="shared" si="5"/>
        <v>537.99927300000002</v>
      </c>
      <c r="J14" s="4">
        <f t="shared" si="5"/>
        <v>621.20148615000016</v>
      </c>
      <c r="K14" s="4">
        <f t="shared" si="5"/>
        <v>711.37892243250019</v>
      </c>
      <c r="L14" s="4">
        <f t="shared" si="5"/>
        <v>809.02109862787518</v>
      </c>
      <c r="M14" s="4">
        <f t="shared" si="5"/>
        <v>914.6490451367066</v>
      </c>
      <c r="N14" s="4">
        <f t="shared" si="5"/>
        <v>1028.8172335498514</v>
      </c>
      <c r="O14" s="4">
        <f t="shared" si="5"/>
        <v>1152.1156181914687</v>
      </c>
      <c r="P14" s="4">
        <f t="shared" si="5"/>
        <v>1285.1717982133734</v>
      </c>
      <c r="Q14" s="4">
        <f t="shared" si="5"/>
        <v>1428.6533071919898</v>
      </c>
      <c r="R14" s="4">
        <f t="shared" si="5"/>
        <v>1576.3380321544889</v>
      </c>
      <c r="S14" s="4">
        <f t="shared" si="5"/>
        <v>1727.9409906558901</v>
      </c>
      <c r="T14" s="4">
        <f t="shared" si="5"/>
        <v>1890.7633999270454</v>
      </c>
      <c r="U14" s="4">
        <f t="shared" si="5"/>
        <v>2065.5481976486767</v>
      </c>
      <c r="V14" s="4">
        <f t="shared" si="5"/>
        <v>2253.084566642653</v>
      </c>
      <c r="W14" s="4">
        <f t="shared" si="5"/>
        <v>2435.6316015578109</v>
      </c>
      <c r="X14" s="4">
        <f t="shared" si="5"/>
        <v>2584.3528773376393</v>
      </c>
    </row>
    <row r="15" spans="1:25" x14ac:dyDescent="0.25">
      <c r="A15" t="s">
        <v>5</v>
      </c>
      <c r="C15" s="3">
        <v>5</v>
      </c>
      <c r="D15" s="3">
        <v>5</v>
      </c>
      <c r="E15" s="3">
        <v>5</v>
      </c>
      <c r="F15" s="34">
        <v>5</v>
      </c>
      <c r="G15" s="24">
        <v>5</v>
      </c>
      <c r="H15" s="4">
        <f t="shared" ref="H15:X15" si="6">+G15*(1+H$9)</f>
        <v>5.1749999999999998</v>
      </c>
      <c r="I15" s="4">
        <f t="shared" si="6"/>
        <v>5.3561249999999996</v>
      </c>
      <c r="J15" s="4">
        <f t="shared" si="6"/>
        <v>5.5435893749999989</v>
      </c>
      <c r="K15" s="4">
        <f t="shared" si="6"/>
        <v>5.7376150031249988</v>
      </c>
      <c r="L15" s="4">
        <f t="shared" si="6"/>
        <v>5.9384315282343731</v>
      </c>
      <c r="M15" s="4">
        <f t="shared" si="6"/>
        <v>6.1462766317225759</v>
      </c>
      <c r="N15" s="4">
        <f t="shared" si="6"/>
        <v>6.3613963138328655</v>
      </c>
      <c r="O15" s="4">
        <f t="shared" si="6"/>
        <v>6.5840451848170156</v>
      </c>
      <c r="P15" s="4">
        <f t="shared" si="6"/>
        <v>6.8144867662856106</v>
      </c>
      <c r="Q15" s="4">
        <f t="shared" si="6"/>
        <v>7.0529938031056068</v>
      </c>
      <c r="R15" s="4">
        <f t="shared" si="6"/>
        <v>7.2998485862143028</v>
      </c>
      <c r="S15" s="4">
        <f t="shared" si="6"/>
        <v>7.5553432867318024</v>
      </c>
      <c r="T15" s="4">
        <f t="shared" si="6"/>
        <v>7.8197803017674152</v>
      </c>
      <c r="U15" s="4">
        <f t="shared" si="6"/>
        <v>8.0934726123292737</v>
      </c>
      <c r="V15" s="4">
        <f t="shared" si="6"/>
        <v>8.3767441537607983</v>
      </c>
      <c r="W15" s="4">
        <f t="shared" si="6"/>
        <v>8.669930199142426</v>
      </c>
      <c r="X15" s="4">
        <f t="shared" si="6"/>
        <v>8.9733777561124111</v>
      </c>
    </row>
    <row r="16" spans="1:25" x14ac:dyDescent="0.25">
      <c r="A16" t="s">
        <v>39</v>
      </c>
      <c r="C16" s="3">
        <v>4</v>
      </c>
      <c r="D16" s="3">
        <v>3</v>
      </c>
      <c r="E16" s="3">
        <v>20</v>
      </c>
      <c r="F16" s="34">
        <v>5</v>
      </c>
      <c r="G16" s="24">
        <v>0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</row>
    <row r="17" spans="1:25" x14ac:dyDescent="0.25">
      <c r="A17" t="s">
        <v>6</v>
      </c>
      <c r="C17" s="34">
        <v>0</v>
      </c>
      <c r="D17" s="34">
        <v>0</v>
      </c>
      <c r="E17" s="34">
        <v>0</v>
      </c>
      <c r="F17" s="34">
        <v>0</v>
      </c>
      <c r="G17" s="30">
        <v>-2</v>
      </c>
      <c r="H17" s="4">
        <f t="shared" ref="H17:X17" si="7">-0.015*H14</f>
        <v>-6.9835216500000001</v>
      </c>
      <c r="I17" s="4">
        <f t="shared" si="7"/>
        <v>-8.0699890950000004</v>
      </c>
      <c r="J17" s="4">
        <f t="shared" si="7"/>
        <v>-9.3180222922500029</v>
      </c>
      <c r="K17" s="4">
        <f t="shared" si="7"/>
        <v>-10.670683836487502</v>
      </c>
      <c r="L17" s="4">
        <f t="shared" si="7"/>
        <v>-12.135316479418128</v>
      </c>
      <c r="M17" s="4">
        <f t="shared" si="7"/>
        <v>-13.719735677050599</v>
      </c>
      <c r="N17" s="4">
        <f t="shared" si="7"/>
        <v>-15.43225850324777</v>
      </c>
      <c r="O17" s="4">
        <f t="shared" si="7"/>
        <v>-17.281734272872029</v>
      </c>
      <c r="P17" s="4">
        <f t="shared" si="7"/>
        <v>-19.277576973200603</v>
      </c>
      <c r="Q17" s="4">
        <f t="shared" si="7"/>
        <v>-21.429799607879847</v>
      </c>
      <c r="R17" s="4">
        <f t="shared" si="7"/>
        <v>-23.645070482317333</v>
      </c>
      <c r="S17" s="4">
        <f t="shared" si="7"/>
        <v>-25.919114859838352</v>
      </c>
      <c r="T17" s="4">
        <f t="shared" si="7"/>
        <v>-28.361450998905681</v>
      </c>
      <c r="U17" s="4">
        <f t="shared" si="7"/>
        <v>-30.98322296473015</v>
      </c>
      <c r="V17" s="4">
        <f t="shared" si="7"/>
        <v>-33.796268499639794</v>
      </c>
      <c r="W17" s="4">
        <f t="shared" si="7"/>
        <v>-36.53447402336716</v>
      </c>
      <c r="X17" s="4">
        <f t="shared" si="7"/>
        <v>-38.765293160064587</v>
      </c>
    </row>
    <row r="18" spans="1:25" x14ac:dyDescent="0.25">
      <c r="A18" t="s">
        <v>12</v>
      </c>
      <c r="C18" s="3">
        <f>940-77-359</f>
        <v>504</v>
      </c>
      <c r="D18" s="3">
        <v>580</v>
      </c>
      <c r="E18" s="3">
        <v>672</v>
      </c>
      <c r="F18" s="52">
        <v>703</v>
      </c>
      <c r="G18" s="30">
        <v>768</v>
      </c>
      <c r="H18" s="10">
        <f t="shared" ref="H18:X18" si="8">+G18*(1+H9)+H10</f>
        <v>819.87999999999988</v>
      </c>
      <c r="I18" s="10">
        <f t="shared" si="8"/>
        <v>873.57579999999984</v>
      </c>
      <c r="J18" s="10">
        <f t="shared" si="8"/>
        <v>929.15095299999973</v>
      </c>
      <c r="K18" s="10">
        <f t="shared" si="8"/>
        <v>986.67123635499968</v>
      </c>
      <c r="L18" s="10">
        <f t="shared" si="8"/>
        <v>1046.2047296274245</v>
      </c>
      <c r="M18" s="10">
        <f t="shared" si="8"/>
        <v>1107.8218951643844</v>
      </c>
      <c r="N18" s="10">
        <f t="shared" si="8"/>
        <v>1171.5956614951378</v>
      </c>
      <c r="O18" s="10">
        <f t="shared" si="8"/>
        <v>1237.6015096474675</v>
      </c>
      <c r="P18" s="10">
        <f t="shared" si="8"/>
        <v>1305.9175624851289</v>
      </c>
      <c r="Q18" s="10">
        <f t="shared" si="8"/>
        <v>1376.6246771721082</v>
      </c>
      <c r="R18" s="10">
        <f t="shared" si="8"/>
        <v>1449.806540873132</v>
      </c>
      <c r="S18" s="10">
        <f t="shared" si="8"/>
        <v>1525.5497698036916</v>
      </c>
      <c r="T18" s="10">
        <f t="shared" si="8"/>
        <v>1578.9440117468207</v>
      </c>
      <c r="U18" s="10">
        <f t="shared" si="8"/>
        <v>1634.2070521579592</v>
      </c>
      <c r="V18" s="10">
        <f t="shared" si="8"/>
        <v>1691.4042989834877</v>
      </c>
      <c r="W18" s="10">
        <f t="shared" si="8"/>
        <v>1750.6034494479097</v>
      </c>
      <c r="X18" s="10">
        <f t="shared" si="8"/>
        <v>1811.8745701785865</v>
      </c>
      <c r="Y18" s="10"/>
    </row>
    <row r="19" spans="1:25" x14ac:dyDescent="0.25">
      <c r="A19" s="6" t="s">
        <v>43</v>
      </c>
      <c r="C19" s="13">
        <f>SUM(C14:C18)</f>
        <v>727</v>
      </c>
      <c r="D19" s="35">
        <f t="shared" ref="D19:X19" si="9">SUM(D14:D18)</f>
        <v>855</v>
      </c>
      <c r="E19" s="35">
        <f t="shared" si="9"/>
        <v>994</v>
      </c>
      <c r="F19" s="35">
        <f t="shared" si="9"/>
        <v>1061</v>
      </c>
      <c r="G19" s="29">
        <f t="shared" si="9"/>
        <v>1178</v>
      </c>
      <c r="H19" s="13">
        <f t="shared" si="9"/>
        <v>1283.6395883499999</v>
      </c>
      <c r="I19" s="13">
        <f t="shared" si="9"/>
        <v>1408.8612089049998</v>
      </c>
      <c r="J19" s="13">
        <f t="shared" si="9"/>
        <v>1546.5780062327499</v>
      </c>
      <c r="K19" s="13">
        <f t="shared" si="9"/>
        <v>1693.1170899541376</v>
      </c>
      <c r="L19" s="13">
        <f t="shared" si="9"/>
        <v>1849.0289433041157</v>
      </c>
      <c r="M19" s="13">
        <f t="shared" si="9"/>
        <v>2014.8974812557631</v>
      </c>
      <c r="N19" s="13">
        <f t="shared" si="9"/>
        <v>2191.342032855574</v>
      </c>
      <c r="O19" s="13">
        <f t="shared" si="9"/>
        <v>2379.0194387508814</v>
      </c>
      <c r="P19" s="13">
        <f t="shared" si="9"/>
        <v>2578.6262704915871</v>
      </c>
      <c r="Q19" s="13">
        <f t="shared" si="9"/>
        <v>2790.9011785593239</v>
      </c>
      <c r="R19" s="13">
        <f t="shared" si="9"/>
        <v>3009.7993511315181</v>
      </c>
      <c r="S19" s="13">
        <f t="shared" si="9"/>
        <v>3235.1269888864754</v>
      </c>
      <c r="T19" s="13">
        <f t="shared" si="9"/>
        <v>3449.1657409767276</v>
      </c>
      <c r="U19" s="13">
        <f t="shared" si="9"/>
        <v>3676.8654994542349</v>
      </c>
      <c r="V19" s="13">
        <f t="shared" si="9"/>
        <v>3919.0693412802621</v>
      </c>
      <c r="W19" s="13">
        <f t="shared" si="9"/>
        <v>4158.3705071814957</v>
      </c>
      <c r="X19" s="13">
        <f t="shared" si="9"/>
        <v>4366.435532112273</v>
      </c>
    </row>
    <row r="20" spans="1:25" ht="23.45" customHeight="1" x14ac:dyDescent="0.25">
      <c r="A20" s="56" t="s">
        <v>53</v>
      </c>
      <c r="D20" s="55">
        <f>+D19/C19-1</f>
        <v>0.17606602475928468</v>
      </c>
      <c r="E20" s="55">
        <f t="shared" ref="E20:X20" si="10">+E19/D19-1</f>
        <v>0.16257309941520459</v>
      </c>
      <c r="F20" s="55">
        <f t="shared" si="10"/>
        <v>6.7404426559356079E-2</v>
      </c>
      <c r="G20" s="57">
        <f t="shared" si="10"/>
        <v>0.11027332704995296</v>
      </c>
      <c r="H20" s="55">
        <f t="shared" si="10"/>
        <v>8.9677069906621387E-2</v>
      </c>
      <c r="I20" s="55">
        <f t="shared" si="10"/>
        <v>9.7552008906145238E-2</v>
      </c>
      <c r="J20" s="55">
        <f t="shared" si="10"/>
        <v>9.7750435924619516E-2</v>
      </c>
      <c r="K20" s="55">
        <f t="shared" si="10"/>
        <v>9.4750528670931145E-2</v>
      </c>
      <c r="L20" s="55">
        <f t="shared" si="10"/>
        <v>9.208568874241374E-2</v>
      </c>
      <c r="M20" s="55">
        <f t="shared" si="10"/>
        <v>8.9705755311352275E-2</v>
      </c>
      <c r="N20" s="55">
        <f t="shared" si="10"/>
        <v>8.7569989660140735E-2</v>
      </c>
      <c r="O20" s="55">
        <f t="shared" si="10"/>
        <v>8.5644962347909637E-2</v>
      </c>
      <c r="P20" s="55">
        <f t="shared" si="10"/>
        <v>8.3902984771536904E-2</v>
      </c>
      <c r="Q20" s="55">
        <f t="shared" si="10"/>
        <v>8.2320928199986376E-2</v>
      </c>
      <c r="R20" s="55">
        <f t="shared" si="10"/>
        <v>7.8432792337416402E-2</v>
      </c>
      <c r="S20" s="55">
        <f t="shared" si="10"/>
        <v>7.4864670852642146E-2</v>
      </c>
      <c r="T20" s="55">
        <f t="shared" si="10"/>
        <v>6.6160850200172261E-2</v>
      </c>
      <c r="U20" s="55">
        <f t="shared" si="10"/>
        <v>6.601589357460913E-2</v>
      </c>
      <c r="V20" s="55">
        <f t="shared" si="10"/>
        <v>6.5872369240043804E-2</v>
      </c>
      <c r="W20" s="55">
        <f t="shared" si="10"/>
        <v>6.106071239430011E-2</v>
      </c>
      <c r="X20" s="55">
        <f t="shared" si="10"/>
        <v>5.0035230042981826E-2</v>
      </c>
    </row>
    <row r="21" spans="1:25" x14ac:dyDescent="0.25">
      <c r="A21" s="7" t="s">
        <v>44</v>
      </c>
      <c r="G21" s="21"/>
    </row>
    <row r="22" spans="1:25" x14ac:dyDescent="0.25">
      <c r="A22" t="s">
        <v>40</v>
      </c>
      <c r="C22" s="8">
        <f>508-178+42</f>
        <v>372</v>
      </c>
      <c r="D22" s="8">
        <v>347</v>
      </c>
      <c r="E22" s="8">
        <f>563-229+46</f>
        <v>380</v>
      </c>
      <c r="F22" s="8">
        <f>561-229+43</f>
        <v>375</v>
      </c>
      <c r="G22" s="30">
        <v>397</v>
      </c>
      <c r="H22" s="9">
        <f t="shared" ref="H22:V23" si="11">+G22*(1+H$9)</f>
        <v>410.89499999999998</v>
      </c>
      <c r="I22" s="9">
        <f t="shared" si="11"/>
        <v>425.27632499999993</v>
      </c>
      <c r="J22" s="9">
        <f t="shared" si="11"/>
        <v>440.16099637499991</v>
      </c>
      <c r="K22" s="9">
        <f t="shared" si="11"/>
        <v>455.56663124812485</v>
      </c>
      <c r="L22" s="9">
        <f t="shared" si="11"/>
        <v>471.51146334180919</v>
      </c>
      <c r="M22" s="9">
        <f t="shared" si="11"/>
        <v>488.01436455877246</v>
      </c>
      <c r="N22" s="9">
        <f t="shared" si="11"/>
        <v>505.09486731832948</v>
      </c>
      <c r="O22" s="9">
        <f t="shared" si="11"/>
        <v>522.77318767447093</v>
      </c>
      <c r="P22" s="9">
        <f t="shared" si="11"/>
        <v>541.07024924307734</v>
      </c>
      <c r="Q22" s="9">
        <f t="shared" si="11"/>
        <v>560.00770796658503</v>
      </c>
      <c r="R22" s="9">
        <f t="shared" si="11"/>
        <v>579.6079777454155</v>
      </c>
      <c r="S22" s="9">
        <f t="shared" si="11"/>
        <v>599.89425696650494</v>
      </c>
      <c r="T22" s="9">
        <f t="shared" si="11"/>
        <v>620.89055596033256</v>
      </c>
      <c r="U22" s="9">
        <f t="shared" si="11"/>
        <v>642.62172541894415</v>
      </c>
      <c r="V22" s="9">
        <f t="shared" si="11"/>
        <v>665.11348580860715</v>
      </c>
      <c r="W22" s="9">
        <f t="shared" ref="V22:X23" si="12">+V22*(1+W$9)</f>
        <v>688.39245781190834</v>
      </c>
      <c r="X22" s="9">
        <f t="shared" si="12"/>
        <v>712.48619383532503</v>
      </c>
    </row>
    <row r="23" spans="1:25" x14ac:dyDescent="0.25">
      <c r="A23" t="s">
        <v>8</v>
      </c>
      <c r="C23" s="8">
        <v>772</v>
      </c>
      <c r="D23" s="8">
        <v>733</v>
      </c>
      <c r="E23" s="8">
        <v>698</v>
      </c>
      <c r="F23" s="8">
        <v>719</v>
      </c>
      <c r="G23" s="30">
        <f>865-86</f>
        <v>779</v>
      </c>
      <c r="H23" s="9">
        <f t="shared" si="11"/>
        <v>806.26499999999999</v>
      </c>
      <c r="I23" s="9">
        <f t="shared" si="11"/>
        <v>834.48427499999991</v>
      </c>
      <c r="J23" s="9">
        <f t="shared" si="11"/>
        <v>863.69122462499979</v>
      </c>
      <c r="K23" s="9">
        <f t="shared" si="11"/>
        <v>893.92041748687473</v>
      </c>
      <c r="L23" s="9">
        <f t="shared" si="11"/>
        <v>925.20763209891527</v>
      </c>
      <c r="M23" s="9">
        <f t="shared" si="11"/>
        <v>957.5898992223772</v>
      </c>
      <c r="N23" s="9">
        <f t="shared" si="11"/>
        <v>991.10554569516034</v>
      </c>
      <c r="O23" s="9">
        <f t="shared" si="11"/>
        <v>1025.794239794491</v>
      </c>
      <c r="P23" s="9">
        <f t="shared" si="11"/>
        <v>1061.6970381872982</v>
      </c>
      <c r="Q23" s="9">
        <f t="shared" si="11"/>
        <v>1098.8564345238535</v>
      </c>
      <c r="R23" s="9">
        <f t="shared" si="11"/>
        <v>1137.3164097321883</v>
      </c>
      <c r="S23" s="9">
        <f t="shared" si="11"/>
        <v>1177.1224840728148</v>
      </c>
      <c r="T23" s="9">
        <f t="shared" si="11"/>
        <v>1218.3217710153633</v>
      </c>
      <c r="U23" s="9">
        <f t="shared" si="11"/>
        <v>1260.9630330009009</v>
      </c>
      <c r="V23" s="9">
        <f t="shared" si="12"/>
        <v>1305.0967391559323</v>
      </c>
      <c r="W23" s="9">
        <f t="shared" si="12"/>
        <v>1350.7751250263898</v>
      </c>
      <c r="X23" s="9">
        <f t="shared" si="12"/>
        <v>1398.0522544023133</v>
      </c>
    </row>
    <row r="24" spans="1:25" x14ac:dyDescent="0.25">
      <c r="A24" t="s">
        <v>30</v>
      </c>
      <c r="C24" s="8">
        <v>0</v>
      </c>
      <c r="D24" s="8">
        <v>0</v>
      </c>
      <c r="E24" s="8">
        <v>0</v>
      </c>
      <c r="F24" s="8">
        <v>0</v>
      </c>
      <c r="G24" s="30">
        <v>0</v>
      </c>
      <c r="H24" s="8">
        <v>0</v>
      </c>
      <c r="I24" s="9">
        <f t="shared" ref="I24:X24" si="13">+H24*(1+I9)</f>
        <v>0</v>
      </c>
      <c r="J24" s="9">
        <f t="shared" si="13"/>
        <v>0</v>
      </c>
      <c r="K24" s="9">
        <f t="shared" si="13"/>
        <v>0</v>
      </c>
      <c r="L24" s="9">
        <f t="shared" si="13"/>
        <v>0</v>
      </c>
      <c r="M24" s="9">
        <f t="shared" si="13"/>
        <v>0</v>
      </c>
      <c r="N24" s="9">
        <f t="shared" si="13"/>
        <v>0</v>
      </c>
      <c r="O24" s="9">
        <f t="shared" si="13"/>
        <v>0</v>
      </c>
      <c r="P24" s="9">
        <f t="shared" si="13"/>
        <v>0</v>
      </c>
      <c r="Q24" s="9">
        <f t="shared" si="13"/>
        <v>0</v>
      </c>
      <c r="R24" s="9">
        <f t="shared" si="13"/>
        <v>0</v>
      </c>
      <c r="S24" s="9">
        <f t="shared" si="13"/>
        <v>0</v>
      </c>
      <c r="T24" s="9">
        <f t="shared" si="13"/>
        <v>0</v>
      </c>
      <c r="U24" s="9">
        <f t="shared" si="13"/>
        <v>0</v>
      </c>
      <c r="V24" s="9">
        <f t="shared" si="13"/>
        <v>0</v>
      </c>
      <c r="W24" s="9">
        <f t="shared" si="13"/>
        <v>0</v>
      </c>
      <c r="X24" s="9">
        <f t="shared" si="13"/>
        <v>0</v>
      </c>
    </row>
    <row r="25" spans="1:25" x14ac:dyDescent="0.25">
      <c r="A25" t="s">
        <v>9</v>
      </c>
      <c r="C25" s="8">
        <f>116+42-47</f>
        <v>111</v>
      </c>
      <c r="D25" s="8">
        <v>81</v>
      </c>
      <c r="E25" s="8">
        <f>98+46-57</f>
        <v>87</v>
      </c>
      <c r="F25" s="8">
        <f>110+46-59</f>
        <v>97</v>
      </c>
      <c r="G25" s="30">
        <v>88</v>
      </c>
      <c r="H25" s="9">
        <f t="shared" ref="H25:X25" si="14">+G25*(1+H$9)*1.02</f>
        <v>92.901600000000002</v>
      </c>
      <c r="I25" s="9">
        <f t="shared" si="14"/>
        <v>98.07621911999999</v>
      </c>
      <c r="J25" s="9">
        <f t="shared" si="14"/>
        <v>103.53906452498398</v>
      </c>
      <c r="K25" s="9">
        <f t="shared" si="14"/>
        <v>109.30619041902558</v>
      </c>
      <c r="L25" s="9">
        <f t="shared" si="14"/>
        <v>115.39454522536531</v>
      </c>
      <c r="M25" s="9">
        <f t="shared" si="14"/>
        <v>121.82202139441814</v>
      </c>
      <c r="N25" s="9">
        <f t="shared" si="14"/>
        <v>128.60750798608723</v>
      </c>
      <c r="O25" s="9">
        <f t="shared" si="14"/>
        <v>135.77094618091229</v>
      </c>
      <c r="P25" s="9">
        <f t="shared" si="14"/>
        <v>143.33338788318912</v>
      </c>
      <c r="Q25" s="9">
        <f t="shared" si="14"/>
        <v>151.31705758828275</v>
      </c>
      <c r="R25" s="9">
        <f t="shared" si="14"/>
        <v>159.7454176959501</v>
      </c>
      <c r="S25" s="9">
        <f t="shared" si="14"/>
        <v>168.64323746161449</v>
      </c>
      <c r="T25" s="9">
        <f t="shared" si="14"/>
        <v>178.0366657882264</v>
      </c>
      <c r="U25" s="9">
        <f t="shared" si="14"/>
        <v>187.95330807263059</v>
      </c>
      <c r="V25" s="9">
        <f t="shared" si="14"/>
        <v>198.42230733227609</v>
      </c>
      <c r="W25" s="9">
        <f t="shared" si="14"/>
        <v>209.47442985068386</v>
      </c>
      <c r="X25" s="9">
        <f t="shared" si="14"/>
        <v>221.14215559336694</v>
      </c>
    </row>
    <row r="26" spans="1:25" x14ac:dyDescent="0.25">
      <c r="A26" t="s">
        <v>10</v>
      </c>
      <c r="C26" s="8">
        <v>22</v>
      </c>
      <c r="D26" s="8">
        <v>14</v>
      </c>
      <c r="E26" s="8">
        <v>31</v>
      </c>
      <c r="F26" s="8">
        <v>11</v>
      </c>
      <c r="G26" s="30">
        <v>11</v>
      </c>
      <c r="H26" s="8">
        <v>25</v>
      </c>
      <c r="I26" s="8">
        <v>25</v>
      </c>
      <c r="J26" s="8">
        <v>25</v>
      </c>
      <c r="K26" s="8">
        <v>25</v>
      </c>
      <c r="L26" s="8">
        <v>25</v>
      </c>
      <c r="M26" s="8">
        <v>25</v>
      </c>
      <c r="N26" s="8">
        <v>25</v>
      </c>
      <c r="O26" s="8">
        <v>25</v>
      </c>
      <c r="P26" s="8">
        <v>25</v>
      </c>
      <c r="Q26" s="8">
        <v>25</v>
      </c>
      <c r="R26" s="8">
        <v>25</v>
      </c>
      <c r="S26" s="8">
        <v>25</v>
      </c>
      <c r="T26" s="8">
        <v>25</v>
      </c>
      <c r="U26" s="8">
        <v>25</v>
      </c>
      <c r="V26" s="8">
        <v>25</v>
      </c>
      <c r="W26" s="8">
        <v>25</v>
      </c>
      <c r="X26" s="8">
        <v>25</v>
      </c>
    </row>
    <row r="27" spans="1:25" x14ac:dyDescent="0.25">
      <c r="A27" t="s">
        <v>11</v>
      </c>
      <c r="C27" s="8">
        <f>15-9</f>
        <v>6</v>
      </c>
      <c r="D27" s="8">
        <v>4</v>
      </c>
      <c r="E27" s="8">
        <v>8</v>
      </c>
      <c r="F27" s="8">
        <v>8</v>
      </c>
      <c r="G27" s="30">
        <v>16</v>
      </c>
      <c r="H27" s="9">
        <f t="shared" ref="H27:V29" si="15">+G27*(1+H$9)</f>
        <v>16.559999999999999</v>
      </c>
      <c r="I27" s="9">
        <f t="shared" si="15"/>
        <v>17.139599999999998</v>
      </c>
      <c r="J27" s="9">
        <f t="shared" si="15"/>
        <v>17.739485999999996</v>
      </c>
      <c r="K27" s="9">
        <f t="shared" si="15"/>
        <v>18.360368009999995</v>
      </c>
      <c r="L27" s="9">
        <f t="shared" si="15"/>
        <v>19.002980890349992</v>
      </c>
      <c r="M27" s="9">
        <f t="shared" si="15"/>
        <v>19.668085221512239</v>
      </c>
      <c r="N27" s="9">
        <f t="shared" si="15"/>
        <v>20.356468204265166</v>
      </c>
      <c r="O27" s="9">
        <f t="shared" si="15"/>
        <v>21.068944591414446</v>
      </c>
      <c r="P27" s="9">
        <f t="shared" si="15"/>
        <v>21.806357652113949</v>
      </c>
      <c r="Q27" s="9">
        <f t="shared" si="15"/>
        <v>22.569580169937936</v>
      </c>
      <c r="R27" s="9">
        <f t="shared" si="15"/>
        <v>23.359515475885761</v>
      </c>
      <c r="S27" s="9">
        <f t="shared" si="15"/>
        <v>24.177098517541761</v>
      </c>
      <c r="T27" s="9">
        <f t="shared" si="15"/>
        <v>25.023296965655721</v>
      </c>
      <c r="U27" s="9">
        <f t="shared" si="15"/>
        <v>25.899112359453667</v>
      </c>
      <c r="V27" s="9">
        <f t="shared" si="15"/>
        <v>26.805581292034542</v>
      </c>
      <c r="W27" s="9">
        <f t="shared" ref="W27:X29" si="16">+V27*(1+W$9)</f>
        <v>27.743776637255749</v>
      </c>
      <c r="X27" s="9">
        <f t="shared" si="16"/>
        <v>28.7148088195597</v>
      </c>
    </row>
    <row r="28" spans="1:25" x14ac:dyDescent="0.25">
      <c r="A28" t="s">
        <v>13</v>
      </c>
      <c r="C28" s="8">
        <v>32</v>
      </c>
      <c r="D28" s="8">
        <v>29</v>
      </c>
      <c r="E28" s="8">
        <v>30</v>
      </c>
      <c r="F28" s="8">
        <v>31</v>
      </c>
      <c r="G28" s="30">
        <v>31</v>
      </c>
      <c r="H28" s="9">
        <f t="shared" ref="H28:U29" si="17">+G28*(1+H$9)</f>
        <v>32.085000000000001</v>
      </c>
      <c r="I28" s="9">
        <f t="shared" si="17"/>
        <v>33.207974999999998</v>
      </c>
      <c r="J28" s="9">
        <f t="shared" si="17"/>
        <v>34.370254124999995</v>
      </c>
      <c r="K28" s="9">
        <f t="shared" si="17"/>
        <v>35.57321301937499</v>
      </c>
      <c r="L28" s="9">
        <f t="shared" si="17"/>
        <v>36.818275475053113</v>
      </c>
      <c r="M28" s="9">
        <f t="shared" si="17"/>
        <v>38.106915116679971</v>
      </c>
      <c r="N28" s="9">
        <f t="shared" si="17"/>
        <v>39.440657145763765</v>
      </c>
      <c r="O28" s="9">
        <f t="shared" si="17"/>
        <v>40.821080145865494</v>
      </c>
      <c r="P28" s="9">
        <f t="shared" si="17"/>
        <v>42.249817950970787</v>
      </c>
      <c r="Q28" s="9">
        <f t="shared" si="17"/>
        <v>43.728561579254759</v>
      </c>
      <c r="R28" s="9">
        <f t="shared" si="17"/>
        <v>45.259061234528673</v>
      </c>
      <c r="S28" s="9">
        <f t="shared" si="17"/>
        <v>46.843128377737173</v>
      </c>
      <c r="T28" s="9">
        <f t="shared" si="17"/>
        <v>48.482637870957973</v>
      </c>
      <c r="U28" s="9">
        <f t="shared" si="17"/>
        <v>50.179530196441497</v>
      </c>
      <c r="V28" s="9">
        <f t="shared" si="15"/>
        <v>51.935813753316943</v>
      </c>
      <c r="W28" s="9">
        <f t="shared" si="16"/>
        <v>53.753567234683032</v>
      </c>
      <c r="X28" s="9">
        <f t="shared" si="16"/>
        <v>55.634942087896931</v>
      </c>
    </row>
    <row r="29" spans="1:25" x14ac:dyDescent="0.25">
      <c r="A29" t="s">
        <v>14</v>
      </c>
      <c r="C29" s="8">
        <v>42</v>
      </c>
      <c r="D29" s="8">
        <v>46</v>
      </c>
      <c r="E29" s="8">
        <v>45</v>
      </c>
      <c r="F29" s="8">
        <v>50</v>
      </c>
      <c r="G29" s="30">
        <v>47</v>
      </c>
      <c r="H29" s="9">
        <f t="shared" si="17"/>
        <v>48.644999999999996</v>
      </c>
      <c r="I29" s="9">
        <f t="shared" si="17"/>
        <v>50.347574999999992</v>
      </c>
      <c r="J29" s="9">
        <f t="shared" si="17"/>
        <v>52.109740124999988</v>
      </c>
      <c r="K29" s="9">
        <f t="shared" si="17"/>
        <v>53.933581029374984</v>
      </c>
      <c r="L29" s="9">
        <f t="shared" si="17"/>
        <v>55.821256365403102</v>
      </c>
      <c r="M29" s="9">
        <f t="shared" si="17"/>
        <v>57.775000338192207</v>
      </c>
      <c r="N29" s="9">
        <f t="shared" si="17"/>
        <v>59.797125350028928</v>
      </c>
      <c r="O29" s="9">
        <f t="shared" si="17"/>
        <v>61.890024737279937</v>
      </c>
      <c r="P29" s="9">
        <f t="shared" si="17"/>
        <v>64.056175603084725</v>
      </c>
      <c r="Q29" s="9">
        <f t="shared" si="17"/>
        <v>66.298141749192681</v>
      </c>
      <c r="R29" s="9">
        <f t="shared" si="17"/>
        <v>68.618576710414416</v>
      </c>
      <c r="S29" s="9">
        <f t="shared" si="17"/>
        <v>71.02022689527891</v>
      </c>
      <c r="T29" s="9">
        <f t="shared" si="17"/>
        <v>73.505934836613662</v>
      </c>
      <c r="U29" s="9">
        <f t="shared" si="17"/>
        <v>76.078642555895129</v>
      </c>
      <c r="V29" s="9">
        <f t="shared" si="15"/>
        <v>78.741395045351453</v>
      </c>
      <c r="W29" s="9">
        <f t="shared" si="16"/>
        <v>81.497343871938753</v>
      </c>
      <c r="X29" s="9">
        <f t="shared" si="16"/>
        <v>84.34975090745661</v>
      </c>
    </row>
    <row r="30" spans="1:25" x14ac:dyDescent="0.25">
      <c r="A30" t="s">
        <v>23</v>
      </c>
      <c r="C30" s="8">
        <v>5</v>
      </c>
      <c r="D30" s="8">
        <v>3</v>
      </c>
      <c r="E30" s="8">
        <v>35</v>
      </c>
      <c r="F30" s="8">
        <v>5</v>
      </c>
      <c r="G30" s="41">
        <v>3</v>
      </c>
      <c r="H30" s="15">
        <f>0.025*H5</f>
        <v>14.3</v>
      </c>
      <c r="I30" s="15">
        <f t="shared" ref="I30:X30" si="18">0.025*I5</f>
        <v>15.8</v>
      </c>
      <c r="J30" s="15">
        <f t="shared" si="18"/>
        <v>17.3</v>
      </c>
      <c r="K30" s="15">
        <f t="shared" si="18"/>
        <v>18.8</v>
      </c>
      <c r="L30" s="15">
        <f t="shared" si="18"/>
        <v>20.3</v>
      </c>
      <c r="M30" s="15">
        <f t="shared" si="18"/>
        <v>21.8</v>
      </c>
      <c r="N30" s="15">
        <f t="shared" si="18"/>
        <v>23.3</v>
      </c>
      <c r="O30" s="15">
        <f t="shared" si="18"/>
        <v>24.8</v>
      </c>
      <c r="P30" s="15">
        <f t="shared" si="18"/>
        <v>26.3</v>
      </c>
      <c r="Q30" s="15">
        <f t="shared" si="18"/>
        <v>27.8</v>
      </c>
      <c r="R30" s="15">
        <f t="shared" si="18"/>
        <v>29.05</v>
      </c>
      <c r="S30" s="15">
        <f t="shared" si="18"/>
        <v>30.3</v>
      </c>
      <c r="T30" s="15">
        <f t="shared" si="18"/>
        <v>31.55</v>
      </c>
      <c r="U30" s="15">
        <f t="shared" si="18"/>
        <v>32.800000000000004</v>
      </c>
      <c r="V30" s="15">
        <f t="shared" si="18"/>
        <v>34.050000000000004</v>
      </c>
      <c r="W30" s="15">
        <f t="shared" si="18"/>
        <v>34.774999999999999</v>
      </c>
      <c r="X30" s="15">
        <f t="shared" si="18"/>
        <v>34.774999999999999</v>
      </c>
    </row>
    <row r="31" spans="1:25" s="6" customFormat="1" x14ac:dyDescent="0.25">
      <c r="A31" s="6" t="s">
        <v>45</v>
      </c>
      <c r="C31" s="12">
        <f>SUM(C22:C30)</f>
        <v>1362</v>
      </c>
      <c r="D31" s="12">
        <f>SUM(D22:D30)</f>
        <v>1257</v>
      </c>
      <c r="E31" s="12">
        <f>SUM(E22:E30)</f>
        <v>1314</v>
      </c>
      <c r="F31" s="12">
        <f>SUM(F22:F30)</f>
        <v>1296</v>
      </c>
      <c r="G31" s="31">
        <f t="shared" ref="G31:X31" si="19">SUM(G22:G30)</f>
        <v>1372</v>
      </c>
      <c r="H31" s="12">
        <f t="shared" si="19"/>
        <v>1446.6515999999997</v>
      </c>
      <c r="I31" s="12">
        <f t="shared" si="19"/>
        <v>1499.3319691199997</v>
      </c>
      <c r="J31" s="12">
        <f t="shared" si="19"/>
        <v>1553.9107657749835</v>
      </c>
      <c r="K31" s="12">
        <f t="shared" si="19"/>
        <v>1610.4604012127752</v>
      </c>
      <c r="L31" s="12">
        <f t="shared" si="19"/>
        <v>1669.056153396896</v>
      </c>
      <c r="M31" s="12">
        <f t="shared" si="19"/>
        <v>1729.7762858519525</v>
      </c>
      <c r="N31" s="12">
        <f t="shared" si="19"/>
        <v>1792.7021716996348</v>
      </c>
      <c r="O31" s="12">
        <f t="shared" si="19"/>
        <v>1857.9184231244337</v>
      </c>
      <c r="P31" s="12">
        <f t="shared" si="19"/>
        <v>1925.513026519734</v>
      </c>
      <c r="Q31" s="12">
        <f t="shared" si="19"/>
        <v>1995.5774835771067</v>
      </c>
      <c r="R31" s="12">
        <f t="shared" si="19"/>
        <v>2067.9569585943827</v>
      </c>
      <c r="S31" s="12">
        <f t="shared" si="19"/>
        <v>2143.000432291492</v>
      </c>
      <c r="T31" s="12">
        <f t="shared" si="19"/>
        <v>2220.8108624371498</v>
      </c>
      <c r="U31" s="12">
        <f t="shared" si="19"/>
        <v>2301.495351604266</v>
      </c>
      <c r="V31" s="12">
        <f t="shared" si="19"/>
        <v>2385.1653223875187</v>
      </c>
      <c r="W31" s="12">
        <f t="shared" si="19"/>
        <v>2471.41170043286</v>
      </c>
      <c r="X31" s="12">
        <f t="shared" si="19"/>
        <v>2560.1551056459189</v>
      </c>
    </row>
    <row r="32" spans="1:25" ht="24" customHeight="1" x14ac:dyDescent="0.25">
      <c r="A32" s="56" t="s">
        <v>53</v>
      </c>
      <c r="D32" s="55">
        <f>+D31/C31-1</f>
        <v>-7.7092511013215903E-2</v>
      </c>
      <c r="E32" s="55">
        <f t="shared" ref="E32:X32" si="20">+E31/D31-1</f>
        <v>4.5346062052505909E-2</v>
      </c>
      <c r="F32" s="55">
        <f t="shared" si="20"/>
        <v>-1.3698630136986356E-2</v>
      </c>
      <c r="G32" s="57">
        <f t="shared" si="20"/>
        <v>5.8641975308642014E-2</v>
      </c>
      <c r="H32" s="55">
        <f t="shared" si="20"/>
        <v>5.4410787172011421E-2</v>
      </c>
      <c r="I32" s="55">
        <f t="shared" si="20"/>
        <v>3.6415380952815379E-2</v>
      </c>
      <c r="J32" s="55">
        <f t="shared" si="20"/>
        <v>3.6402076244007153E-2</v>
      </c>
      <c r="K32" s="55">
        <f t="shared" si="20"/>
        <v>3.6391816495066731E-2</v>
      </c>
      <c r="L32" s="55">
        <f t="shared" si="20"/>
        <v>3.6384472502394072E-2</v>
      </c>
      <c r="M32" s="55">
        <f t="shared" si="20"/>
        <v>3.6379921868702647E-2</v>
      </c>
      <c r="N32" s="55">
        <f t="shared" si="20"/>
        <v>3.6378048631121152E-2</v>
      </c>
      <c r="O32" s="55">
        <f t="shared" si="20"/>
        <v>3.6378742913536044E-2</v>
      </c>
      <c r="P32" s="55">
        <f t="shared" si="20"/>
        <v>3.6381900601226258E-2</v>
      </c>
      <c r="Q32" s="55">
        <f t="shared" si="20"/>
        <v>3.6387423036036592E-2</v>
      </c>
      <c r="R32" s="55">
        <f t="shared" si="20"/>
        <v>3.6269939710651844E-2</v>
      </c>
      <c r="S32" s="55">
        <f t="shared" si="20"/>
        <v>3.6288701940932588E-2</v>
      </c>
      <c r="T32" s="55">
        <f t="shared" si="20"/>
        <v>3.630910613604299E-2</v>
      </c>
      <c r="U32" s="55">
        <f t="shared" si="20"/>
        <v>3.6331094435737787E-2</v>
      </c>
      <c r="V32" s="55">
        <f t="shared" si="20"/>
        <v>3.6354612111178186E-2</v>
      </c>
      <c r="W32" s="55">
        <f t="shared" si="20"/>
        <v>3.6159496885108888E-2</v>
      </c>
      <c r="X32" s="55">
        <f t="shared" si="20"/>
        <v>3.590798133613915E-2</v>
      </c>
    </row>
    <row r="33" spans="1:24" x14ac:dyDescent="0.25">
      <c r="A33" t="s">
        <v>18</v>
      </c>
      <c r="C33" s="8">
        <v>178</v>
      </c>
      <c r="D33" s="8">
        <v>207</v>
      </c>
      <c r="E33" s="8">
        <v>229</v>
      </c>
      <c r="F33" s="8">
        <v>254</v>
      </c>
      <c r="G33" s="30">
        <f t="shared" ref="G33:X33" si="21">MAX((F42+(G31-G19)/2)*G11,0)</f>
        <v>208.9425</v>
      </c>
      <c r="H33" s="4">
        <f t="shared" si="21"/>
        <v>221.43707643931251</v>
      </c>
      <c r="I33" s="4">
        <f t="shared" si="21"/>
        <v>232.7528764663964</v>
      </c>
      <c r="J33" s="4">
        <f t="shared" si="21"/>
        <v>316.33946819302764</v>
      </c>
      <c r="K33" s="4">
        <f t="shared" si="21"/>
        <v>328.1832620957498</v>
      </c>
      <c r="L33" s="4">
        <f t="shared" si="21"/>
        <v>336.55017431353679</v>
      </c>
      <c r="M33" s="4">
        <f t="shared" si="21"/>
        <v>340.97030953400269</v>
      </c>
      <c r="N33" s="4">
        <f t="shared" si="21"/>
        <v>340.93162523730314</v>
      </c>
      <c r="O33" s="4">
        <f t="shared" si="21"/>
        <v>335.8767256782628</v>
      </c>
      <c r="P33" s="4">
        <f t="shared" si="21"/>
        <v>325.19943350312502</v>
      </c>
      <c r="Q33" s="4">
        <f t="shared" si="21"/>
        <v>308.24112447423386</v>
      </c>
      <c r="R33" s="4">
        <f t="shared" si="21"/>
        <v>284.42659290460256</v>
      </c>
      <c r="S33" s="4">
        <f t="shared" si="21"/>
        <v>253.29288293399063</v>
      </c>
      <c r="T33" s="4">
        <f t="shared" si="21"/>
        <v>214.74759996207581</v>
      </c>
      <c r="U33" s="4">
        <f t="shared" si="21"/>
        <v>168.54521614968615</v>
      </c>
      <c r="V33" s="4">
        <f t="shared" si="21"/>
        <v>113.88631179276518</v>
      </c>
      <c r="W33" s="4">
        <f t="shared" si="21"/>
        <v>50.283144999078388</v>
      </c>
      <c r="X33" s="4">
        <f t="shared" si="21"/>
        <v>0</v>
      </c>
    </row>
    <row r="34" spans="1:24" s="6" customFormat="1" x14ac:dyDescent="0.25">
      <c r="A34" s="6" t="s">
        <v>46</v>
      </c>
      <c r="C34" s="12">
        <f>+C31+C33</f>
        <v>1540</v>
      </c>
      <c r="D34" s="12">
        <f t="shared" ref="D34:X34" si="22">+D31+D33</f>
        <v>1464</v>
      </c>
      <c r="E34" s="12">
        <f t="shared" si="22"/>
        <v>1543</v>
      </c>
      <c r="F34" s="12">
        <f t="shared" si="22"/>
        <v>1550</v>
      </c>
      <c r="G34" s="31">
        <f t="shared" si="22"/>
        <v>1580.9425000000001</v>
      </c>
      <c r="H34" s="12">
        <f t="shared" si="22"/>
        <v>1668.0886764393122</v>
      </c>
      <c r="I34" s="12">
        <f t="shared" si="22"/>
        <v>1732.0848455863961</v>
      </c>
      <c r="J34" s="12">
        <f t="shared" si="22"/>
        <v>1870.2502339680111</v>
      </c>
      <c r="K34" s="12">
        <f t="shared" si="22"/>
        <v>1938.643663308525</v>
      </c>
      <c r="L34" s="12">
        <f t="shared" si="22"/>
        <v>2005.6063277104327</v>
      </c>
      <c r="M34" s="12">
        <f t="shared" si="22"/>
        <v>2070.7465953859551</v>
      </c>
      <c r="N34" s="12">
        <f t="shared" si="22"/>
        <v>2133.6337969369379</v>
      </c>
      <c r="O34" s="12">
        <f t="shared" si="22"/>
        <v>2193.7951488026965</v>
      </c>
      <c r="P34" s="12">
        <f t="shared" si="22"/>
        <v>2250.712460022859</v>
      </c>
      <c r="Q34" s="12">
        <f t="shared" si="22"/>
        <v>2303.8186080513406</v>
      </c>
      <c r="R34" s="12">
        <f t="shared" si="22"/>
        <v>2352.3835514989851</v>
      </c>
      <c r="S34" s="12">
        <f t="shared" si="22"/>
        <v>2396.2933152254827</v>
      </c>
      <c r="T34" s="12">
        <f t="shared" si="22"/>
        <v>2435.5584623992254</v>
      </c>
      <c r="U34" s="12">
        <f t="shared" si="22"/>
        <v>2470.040567753952</v>
      </c>
      <c r="V34" s="12">
        <f t="shared" si="22"/>
        <v>2499.0516341802841</v>
      </c>
      <c r="W34" s="12">
        <f t="shared" si="22"/>
        <v>2521.6948454319386</v>
      </c>
      <c r="X34" s="12">
        <f t="shared" si="22"/>
        <v>2560.1551056459189</v>
      </c>
    </row>
    <row r="35" spans="1:24" x14ac:dyDescent="0.25">
      <c r="G35" s="21"/>
    </row>
    <row r="36" spans="1:24" x14ac:dyDescent="0.25">
      <c r="A36" s="42" t="s">
        <v>47</v>
      </c>
      <c r="C36" s="8">
        <v>21</v>
      </c>
      <c r="D36" s="8">
        <v>0</v>
      </c>
      <c r="E36" s="8">
        <v>0</v>
      </c>
      <c r="F36" s="2">
        <v>0</v>
      </c>
      <c r="G36" s="21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</row>
    <row r="37" spans="1:24" x14ac:dyDescent="0.25">
      <c r="A37" t="s">
        <v>42</v>
      </c>
      <c r="C37" s="8">
        <f>10+15+2+13-11</f>
        <v>29</v>
      </c>
      <c r="D37" s="8">
        <v>26</v>
      </c>
      <c r="E37" s="8">
        <v>32</v>
      </c>
      <c r="F37" s="8">
        <v>-8</v>
      </c>
      <c r="G37" s="21">
        <v>3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</row>
    <row r="38" spans="1:24" x14ac:dyDescent="0.25">
      <c r="G38" s="21"/>
    </row>
    <row r="39" spans="1:24" x14ac:dyDescent="0.25">
      <c r="A39" s="6" t="s">
        <v>20</v>
      </c>
      <c r="C39" s="11">
        <f t="shared" ref="C39:X39" si="23">+C19-C34+C36+C37</f>
        <v>-763</v>
      </c>
      <c r="D39" s="11">
        <f t="shared" si="23"/>
        <v>-583</v>
      </c>
      <c r="E39" s="11">
        <f t="shared" si="23"/>
        <v>-517</v>
      </c>
      <c r="F39" s="11">
        <f t="shared" si="23"/>
        <v>-497</v>
      </c>
      <c r="G39" s="23">
        <f t="shared" si="23"/>
        <v>-399.94250000000011</v>
      </c>
      <c r="H39" s="11">
        <f t="shared" si="23"/>
        <v>-384.44908808931223</v>
      </c>
      <c r="I39" s="11">
        <f t="shared" si="23"/>
        <v>-323.22363668139633</v>
      </c>
      <c r="J39" s="11">
        <f t="shared" si="23"/>
        <v>-323.67222773526123</v>
      </c>
      <c r="K39" s="11">
        <f t="shared" si="23"/>
        <v>-245.52657335438744</v>
      </c>
      <c r="L39" s="11">
        <f t="shared" si="23"/>
        <v>-156.57738440631692</v>
      </c>
      <c r="M39" s="11">
        <f t="shared" si="23"/>
        <v>-55.849114130191992</v>
      </c>
      <c r="N39" s="11">
        <f t="shared" si="23"/>
        <v>57.708235918636092</v>
      </c>
      <c r="O39" s="11">
        <f t="shared" si="23"/>
        <v>185.22428994818483</v>
      </c>
      <c r="P39" s="11">
        <f t="shared" si="23"/>
        <v>327.91381046872812</v>
      </c>
      <c r="Q39" s="11">
        <f t="shared" si="23"/>
        <v>487.08257050798329</v>
      </c>
      <c r="R39" s="11">
        <f t="shared" si="23"/>
        <v>657.41579963253298</v>
      </c>
      <c r="S39" s="11">
        <f t="shared" si="23"/>
        <v>838.83367366099264</v>
      </c>
      <c r="T39" s="11">
        <f t="shared" si="23"/>
        <v>1013.6072785775023</v>
      </c>
      <c r="U39" s="11">
        <f t="shared" si="23"/>
        <v>1206.8249317002828</v>
      </c>
      <c r="V39" s="11">
        <f t="shared" si="23"/>
        <v>1420.017707099978</v>
      </c>
      <c r="W39" s="11">
        <f t="shared" si="23"/>
        <v>1636.6756617495571</v>
      </c>
      <c r="X39" s="11">
        <f t="shared" si="23"/>
        <v>1806.2804264663541</v>
      </c>
    </row>
    <row r="40" spans="1:24" x14ac:dyDescent="0.25">
      <c r="A40" t="s">
        <v>38</v>
      </c>
      <c r="C40" s="4">
        <f t="shared" ref="C40:X40" si="24">+C39+C33</f>
        <v>-585</v>
      </c>
      <c r="D40" s="4">
        <f t="shared" si="24"/>
        <v>-376</v>
      </c>
      <c r="E40" s="43">
        <f t="shared" si="24"/>
        <v>-288</v>
      </c>
      <c r="F40" s="43">
        <f t="shared" si="24"/>
        <v>-243</v>
      </c>
      <c r="G40" s="24">
        <f t="shared" si="24"/>
        <v>-191.00000000000011</v>
      </c>
      <c r="H40" s="4">
        <f t="shared" si="24"/>
        <v>-163.01201164999972</v>
      </c>
      <c r="I40" s="4">
        <f t="shared" si="24"/>
        <v>-90.470760214999927</v>
      </c>
      <c r="J40" s="4">
        <f t="shared" si="24"/>
        <v>-7.3327595422335889</v>
      </c>
      <c r="K40" s="4">
        <f t="shared" si="24"/>
        <v>82.656688741362359</v>
      </c>
      <c r="L40" s="4">
        <f t="shared" si="24"/>
        <v>179.97278990721986</v>
      </c>
      <c r="M40" s="4">
        <f t="shared" si="24"/>
        <v>285.1211954038107</v>
      </c>
      <c r="N40" s="4">
        <f t="shared" si="24"/>
        <v>398.63986115593923</v>
      </c>
      <c r="O40" s="4">
        <f t="shared" si="24"/>
        <v>521.10101562644763</v>
      </c>
      <c r="P40" s="4">
        <f t="shared" si="24"/>
        <v>653.11324397185308</v>
      </c>
      <c r="Q40" s="4">
        <f t="shared" si="24"/>
        <v>795.32369498221715</v>
      </c>
      <c r="R40" s="4">
        <f t="shared" si="24"/>
        <v>941.84239253713554</v>
      </c>
      <c r="S40" s="4">
        <f t="shared" si="24"/>
        <v>1092.1265565949832</v>
      </c>
      <c r="T40" s="4">
        <f t="shared" si="24"/>
        <v>1228.3548785395781</v>
      </c>
      <c r="U40" s="4">
        <f t="shared" si="24"/>
        <v>1375.370147849969</v>
      </c>
      <c r="V40" s="4">
        <f t="shared" si="24"/>
        <v>1533.9040188927431</v>
      </c>
      <c r="W40" s="4">
        <f t="shared" si="24"/>
        <v>1686.9588067486354</v>
      </c>
      <c r="X40" s="4">
        <f t="shared" si="24"/>
        <v>1806.2804264663541</v>
      </c>
    </row>
    <row r="41" spans="1:24" x14ac:dyDescent="0.25">
      <c r="D41" s="59"/>
      <c r="E41" s="59"/>
      <c r="F41" s="59"/>
      <c r="G41" s="21"/>
    </row>
    <row r="42" spans="1:24" x14ac:dyDescent="0.25">
      <c r="A42" s="21" t="s">
        <v>26</v>
      </c>
      <c r="B42" s="21"/>
      <c r="C42" s="22">
        <v>4735</v>
      </c>
      <c r="D42" s="22">
        <v>5318</v>
      </c>
      <c r="E42" s="22">
        <f>5606+229</f>
        <v>5835</v>
      </c>
      <c r="F42" s="22">
        <v>6332</v>
      </c>
      <c r="G42" s="23">
        <f t="shared" ref="G42:X42" si="25">MAX(0,+F42-G39)</f>
        <v>6731.9425000000001</v>
      </c>
      <c r="H42" s="23">
        <f t="shared" si="25"/>
        <v>7116.3915880893128</v>
      </c>
      <c r="I42" s="23">
        <f t="shared" si="25"/>
        <v>7439.6152247707087</v>
      </c>
      <c r="J42" s="23">
        <f t="shared" si="25"/>
        <v>7763.2874525059697</v>
      </c>
      <c r="K42" s="23">
        <f t="shared" si="25"/>
        <v>8008.8140258603571</v>
      </c>
      <c r="L42" s="23">
        <f t="shared" si="25"/>
        <v>8165.391410266674</v>
      </c>
      <c r="M42" s="23">
        <f t="shared" si="25"/>
        <v>8221.240524396866</v>
      </c>
      <c r="N42" s="23">
        <f t="shared" si="25"/>
        <v>8163.5322884782299</v>
      </c>
      <c r="O42" s="23">
        <f t="shared" si="25"/>
        <v>7978.3079985300446</v>
      </c>
      <c r="P42" s="23">
        <f t="shared" si="25"/>
        <v>7650.3941880613165</v>
      </c>
      <c r="Q42" s="23">
        <f t="shared" si="25"/>
        <v>7163.3116175533332</v>
      </c>
      <c r="R42" s="23">
        <f t="shared" si="25"/>
        <v>6505.8958179208003</v>
      </c>
      <c r="S42" s="23">
        <f t="shared" si="25"/>
        <v>5667.0621442598076</v>
      </c>
      <c r="T42" s="23">
        <f t="shared" si="25"/>
        <v>4653.4548656823054</v>
      </c>
      <c r="U42" s="23">
        <f t="shared" si="25"/>
        <v>3446.6299339820225</v>
      </c>
      <c r="V42" s="23">
        <f t="shared" si="25"/>
        <v>2026.6122268820445</v>
      </c>
      <c r="W42" s="23">
        <f t="shared" si="25"/>
        <v>389.93656513248743</v>
      </c>
      <c r="X42" s="23">
        <f t="shared" si="25"/>
        <v>0</v>
      </c>
    </row>
    <row r="43" spans="1:24" x14ac:dyDescent="0.25">
      <c r="A43" s="21" t="s">
        <v>27</v>
      </c>
      <c r="B43" s="21"/>
      <c r="C43" s="22">
        <v>4731</v>
      </c>
      <c r="D43" s="22">
        <v>4752</v>
      </c>
      <c r="E43" s="22">
        <v>4776</v>
      </c>
      <c r="F43" s="22">
        <v>5144</v>
      </c>
      <c r="G43" s="24">
        <f t="shared" ref="G43:X43" si="26">IF(G42&gt;0,F43+G44,MAX(0,F43+G44-(G39-(F42-G42))))</f>
        <v>5604</v>
      </c>
      <c r="H43" s="24">
        <f t="shared" si="26"/>
        <v>6104</v>
      </c>
      <c r="I43" s="24">
        <f t="shared" si="26"/>
        <v>6704</v>
      </c>
      <c r="J43" s="24">
        <f t="shared" si="26"/>
        <v>7304</v>
      </c>
      <c r="K43" s="24">
        <f t="shared" si="26"/>
        <v>7500</v>
      </c>
      <c r="L43" s="24">
        <f t="shared" si="26"/>
        <v>7500</v>
      </c>
      <c r="M43" s="24">
        <f t="shared" si="26"/>
        <v>7500</v>
      </c>
      <c r="N43" s="24">
        <f t="shared" si="26"/>
        <v>7500</v>
      </c>
      <c r="O43" s="24">
        <f t="shared" si="26"/>
        <v>7500</v>
      </c>
      <c r="P43" s="24">
        <f t="shared" si="26"/>
        <v>7500</v>
      </c>
      <c r="Q43" s="24">
        <f t="shared" si="26"/>
        <v>7500</v>
      </c>
      <c r="R43" s="24">
        <f t="shared" si="26"/>
        <v>7500</v>
      </c>
      <c r="S43" s="24">
        <f t="shared" si="26"/>
        <v>7500</v>
      </c>
      <c r="T43" s="24">
        <f t="shared" si="26"/>
        <v>7500</v>
      </c>
      <c r="U43" s="24">
        <f t="shared" si="26"/>
        <v>7500</v>
      </c>
      <c r="V43" s="24">
        <f t="shared" si="26"/>
        <v>7500</v>
      </c>
      <c r="W43" s="24">
        <f t="shared" si="26"/>
        <v>7500</v>
      </c>
      <c r="X43" s="24">
        <f t="shared" si="26"/>
        <v>6083.6561386661333</v>
      </c>
    </row>
    <row r="44" spans="1:24" x14ac:dyDescent="0.25">
      <c r="A44" t="s">
        <v>31</v>
      </c>
      <c r="C44" s="54"/>
      <c r="D44" s="54">
        <f>+D43-C43</f>
        <v>21</v>
      </c>
      <c r="E44" s="54">
        <f>+E43-D43</f>
        <v>24</v>
      </c>
      <c r="F44" s="54">
        <f>+F43-E43</f>
        <v>368</v>
      </c>
      <c r="G44" s="21">
        <f>IF(SUM($D44:F44)&lt;(7500-$C43),IF((10000*G6/1000+SUM($D44:F44))&lt;(7500-$C43),10000*G6/1000,7500-$C43-SUM($D44:F44)),0)</f>
        <v>460</v>
      </c>
      <c r="H44">
        <f>IF(SUM($D44:G44)&lt;(7500-$C43),IF((10000*H6/1000+SUM($D44:G44))&lt;(7500-$C43),10000*H6/1000,7500-$C43-SUM($D44:G44)),0)</f>
        <v>500</v>
      </c>
      <c r="I44">
        <f>IF(SUM($D44:H44)&lt;(7500-$C43),IF((10000*I6/1000+SUM($D44:H44))&lt;(7500-$C43),10000*I6/1000,7500-$C43-SUM($D44:H44)),0)</f>
        <v>600</v>
      </c>
      <c r="J44">
        <f>IF(SUM($D44:I44)&lt;(7500-$C43),IF((10000*J6/1000+SUM($D44:I44))&lt;(7500-$C43),10000*J6/1000,7500-$C43-SUM($D44:I44)),0)</f>
        <v>600</v>
      </c>
      <c r="K44">
        <f>IF(SUM($D44:J44)&lt;(7500-$C43),IF((10000*K6/1000+SUM($D44:J44))&lt;(7500-$C43),10000*K6/1000,7500-$C43-SUM($D44:J44)),0)</f>
        <v>196</v>
      </c>
      <c r="L44">
        <f>IF(SUM($D44:K44)&lt;(7500-$C43),IF((10000*L6/1000+SUM($D44:K44))&lt;(7500-$C43),10000*L6/1000,7500-$C43-SUM($D44:K44)),0)</f>
        <v>0</v>
      </c>
      <c r="M44">
        <f>IF(SUM($D44:L44)&lt;(7500-$C43),IF((10000*M6/1000+SUM($D44:L44))&lt;(7500-$C43),10000*M6/1000,7500-$C43-SUM($D44:L44)),0)</f>
        <v>0</v>
      </c>
      <c r="N44">
        <f>IF(SUM($D44:M44)&lt;(7500-$C43),IF((10000*N6/1000+SUM($D44:M44))&lt;(7500-$C43),10000*N6/1000,7500-$C43-SUM($D44:M44)),0)</f>
        <v>0</v>
      </c>
      <c r="O44">
        <f>IF(SUM($D44:N44)&lt;(7500-$C43),IF((10000*O6/1000+SUM($D44:N44))&lt;(7500-$C43),10000*O6/1000,7500-$C43-SUM($D44:N44)),0)</f>
        <v>0</v>
      </c>
      <c r="P44">
        <f>IF(SUM($D44:O44)&lt;(7500-$C43),IF((10000*P6/1000+SUM($D44:O44))&lt;(7500-$C43),10000*P6/1000,7500-$C43-SUM($D44:O44)),0)</f>
        <v>0</v>
      </c>
      <c r="Q44">
        <f>IF(SUM($D44:P44)&lt;(7500-$C43),IF((10000*Q6/1000+SUM($D44:P44))&lt;(7500-$C43),10000*Q6/1000,7500-$C43-SUM($D44:P44)),0)</f>
        <v>0</v>
      </c>
      <c r="R44">
        <f>IF(SUM($D44:Q44)&lt;(7500-$C43),IF((10000*R6/1000+SUM($D44:Q44))&lt;(7500-$C43),10000*R6/1000,7500-$C43-SUM($D44:Q44)),0)</f>
        <v>0</v>
      </c>
      <c r="S44">
        <f>IF(SUM($D44:R44)&lt;(7500-$C43),IF((10000*S6/1000+SUM($D44:R44))&lt;(7500-$C43),10000*S6/1000,7500-$C43-SUM($D44:R44)),0)</f>
        <v>0</v>
      </c>
      <c r="T44">
        <f>IF(SUM($D44:S44)&lt;(7500-$C43),IF((10000*T6/1000+SUM($D44:S44))&lt;(7500-$C43),10000*T6/1000,7500-$C43-SUM($D44:S44)),0)</f>
        <v>0</v>
      </c>
      <c r="U44">
        <f>IF(SUM($D44:T44)&lt;(7500-$C43),IF((10000*U6/1000+SUM($D44:T44))&lt;(7500-$C43),10000*U6/1000,7500-$C43-SUM($D44:T44)),0)</f>
        <v>0</v>
      </c>
      <c r="V44">
        <f>IF(SUM($D44:U44)&lt;(7500-$C43),IF((10000*V6/1000+SUM($D44:U44))&lt;(7500-$C43),10000*V6/1000,7500-$C43-SUM($D44:U44)),0)</f>
        <v>0</v>
      </c>
      <c r="W44">
        <f>IF(SUM($D44:V44)&lt;(7500-$C43),IF((10000*W6/1000+SUM($D44:V44))&lt;(7500-$C43),10000*W6/1000,7500-$C43-SUM($D44:V44)),0)</f>
        <v>0</v>
      </c>
      <c r="X44">
        <f>IF(SUM($D44:W44)&lt;(7500-$C43),IF((10000*X6/1000+SUM($D44:W44))&lt;(7500-$C43),10000*X6/1000,7500-$C43-SUM($D44:W44)),0)</f>
        <v>0</v>
      </c>
    </row>
    <row r="45" spans="1:24" x14ac:dyDescent="0.25">
      <c r="D45" s="11"/>
      <c r="E45" s="11"/>
      <c r="F45" s="11"/>
      <c r="G45" s="58"/>
    </row>
    <row r="69" spans="1:11" x14ac:dyDescent="0.25">
      <c r="C69" s="4"/>
    </row>
    <row r="79" spans="1:11" x14ac:dyDescent="0.25">
      <c r="A79" t="s">
        <v>34</v>
      </c>
      <c r="C79">
        <v>3638</v>
      </c>
      <c r="D79">
        <v>3445</v>
      </c>
      <c r="E79">
        <v>3277</v>
      </c>
      <c r="F79">
        <v>2814</v>
      </c>
      <c r="G79">
        <v>2312</v>
      </c>
      <c r="H79">
        <v>1676</v>
      </c>
      <c r="I79">
        <v>1159</v>
      </c>
      <c r="J79">
        <v>412</v>
      </c>
      <c r="K79">
        <v>0</v>
      </c>
    </row>
  </sheetData>
  <pageMargins left="0.7" right="0.7" top="0.75" bottom="0.75" header="0.3" footer="0.3"/>
  <pageSetup paperSize="3" scale="6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Y79"/>
  <sheetViews>
    <sheetView workbookViewId="0">
      <selection activeCell="H17" sqref="H17"/>
    </sheetView>
  </sheetViews>
  <sheetFormatPr defaultRowHeight="15" x14ac:dyDescent="0.25"/>
  <cols>
    <col min="1" max="1" width="24.5703125" customWidth="1"/>
    <col min="2" max="2" width="11.140625" customWidth="1"/>
    <col min="3" max="3" width="11.5703125" bestFit="1" customWidth="1"/>
    <col min="4" max="4" width="9.5703125" bestFit="1" customWidth="1"/>
    <col min="5" max="5" width="10.5703125" customWidth="1"/>
    <col min="6" max="6" width="10" bestFit="1" customWidth="1"/>
    <col min="7" max="7" width="9.42578125" bestFit="1" customWidth="1"/>
    <col min="8" max="24" width="8.5703125" customWidth="1"/>
  </cols>
  <sheetData>
    <row r="1" spans="1:25" ht="25.7" x14ac:dyDescent="0.5">
      <c r="A1" s="19" t="s">
        <v>22</v>
      </c>
      <c r="D1" s="50"/>
    </row>
    <row r="2" spans="1:25" ht="18" x14ac:dyDescent="0.35">
      <c r="A2" s="20" t="s">
        <v>54</v>
      </c>
      <c r="G2" s="10"/>
    </row>
    <row r="3" spans="1:25" ht="14.45" x14ac:dyDescent="0.3">
      <c r="A3" t="s">
        <v>28</v>
      </c>
      <c r="C3" s="14">
        <v>2009</v>
      </c>
      <c r="D3" s="14">
        <v>2010</v>
      </c>
      <c r="E3" s="14">
        <v>2011</v>
      </c>
      <c r="F3" s="14">
        <v>2012</v>
      </c>
      <c r="G3" s="14">
        <f t="shared" ref="G3:V3" si="0">+F3+1</f>
        <v>2013</v>
      </c>
      <c r="H3" s="27">
        <f t="shared" si="0"/>
        <v>2014</v>
      </c>
      <c r="I3" s="14">
        <f t="shared" si="0"/>
        <v>2015</v>
      </c>
      <c r="J3" s="14">
        <f t="shared" si="0"/>
        <v>2016</v>
      </c>
      <c r="K3" s="14">
        <f t="shared" si="0"/>
        <v>2017</v>
      </c>
      <c r="L3" s="14">
        <f t="shared" si="0"/>
        <v>2018</v>
      </c>
      <c r="M3" s="14">
        <f t="shared" si="0"/>
        <v>2019</v>
      </c>
      <c r="N3" s="14">
        <f t="shared" si="0"/>
        <v>2020</v>
      </c>
      <c r="O3" s="14">
        <f t="shared" si="0"/>
        <v>2021</v>
      </c>
      <c r="P3" s="14">
        <f t="shared" si="0"/>
        <v>2022</v>
      </c>
      <c r="Q3" s="14">
        <f t="shared" si="0"/>
        <v>2023</v>
      </c>
      <c r="R3" s="14">
        <f t="shared" si="0"/>
        <v>2024</v>
      </c>
      <c r="S3" s="14">
        <f t="shared" si="0"/>
        <v>2025</v>
      </c>
      <c r="T3" s="14">
        <f t="shared" si="0"/>
        <v>2026</v>
      </c>
      <c r="U3" s="14">
        <f t="shared" si="0"/>
        <v>2027</v>
      </c>
      <c r="V3" s="14">
        <f t="shared" si="0"/>
        <v>2028</v>
      </c>
      <c r="W3" s="14">
        <f>+V3+1</f>
        <v>2029</v>
      </c>
      <c r="X3" s="14">
        <f>+W3+1</f>
        <v>2030</v>
      </c>
    </row>
    <row r="4" spans="1:25" ht="14.45" x14ac:dyDescent="0.3">
      <c r="H4" s="21"/>
    </row>
    <row r="5" spans="1:25" ht="14.45" x14ac:dyDescent="0.3">
      <c r="A5" s="1" t="s">
        <v>50</v>
      </c>
      <c r="C5">
        <v>335</v>
      </c>
      <c r="D5">
        <f>+C5+D6</f>
        <v>375</v>
      </c>
      <c r="E5">
        <f t="shared" ref="E5:X5" si="1">+D5+E6</f>
        <v>418</v>
      </c>
      <c r="F5">
        <f t="shared" si="1"/>
        <v>476</v>
      </c>
      <c r="G5">
        <f t="shared" si="1"/>
        <v>510</v>
      </c>
      <c r="H5" s="21">
        <f t="shared" si="1"/>
        <v>571</v>
      </c>
      <c r="I5">
        <f t="shared" si="1"/>
        <v>631</v>
      </c>
      <c r="J5">
        <f t="shared" si="1"/>
        <v>691</v>
      </c>
      <c r="K5">
        <f t="shared" si="1"/>
        <v>751</v>
      </c>
      <c r="L5">
        <f t="shared" si="1"/>
        <v>811</v>
      </c>
      <c r="M5">
        <f t="shared" si="1"/>
        <v>871</v>
      </c>
      <c r="N5">
        <f t="shared" si="1"/>
        <v>931</v>
      </c>
      <c r="O5">
        <f t="shared" si="1"/>
        <v>991</v>
      </c>
      <c r="P5">
        <f t="shared" si="1"/>
        <v>1051</v>
      </c>
      <c r="Q5">
        <f t="shared" si="1"/>
        <v>1111</v>
      </c>
      <c r="R5">
        <f t="shared" si="1"/>
        <v>1161</v>
      </c>
      <c r="S5">
        <f t="shared" si="1"/>
        <v>1211</v>
      </c>
      <c r="T5">
        <f t="shared" si="1"/>
        <v>1261</v>
      </c>
      <c r="U5">
        <f t="shared" si="1"/>
        <v>1311</v>
      </c>
      <c r="V5">
        <f t="shared" si="1"/>
        <v>1361</v>
      </c>
      <c r="W5">
        <f t="shared" si="1"/>
        <v>1390</v>
      </c>
      <c r="X5">
        <f t="shared" si="1"/>
        <v>1390</v>
      </c>
    </row>
    <row r="6" spans="1:25" ht="14.45" x14ac:dyDescent="0.3">
      <c r="A6" s="1" t="s">
        <v>51</v>
      </c>
      <c r="D6" s="3">
        <v>40</v>
      </c>
      <c r="E6" s="3">
        <v>43</v>
      </c>
      <c r="F6" s="3">
        <v>58</v>
      </c>
      <c r="G6" s="3">
        <v>34</v>
      </c>
      <c r="H6" s="28">
        <v>61</v>
      </c>
      <c r="I6" s="3">
        <v>60</v>
      </c>
      <c r="J6" s="3">
        <v>60</v>
      </c>
      <c r="K6" s="3">
        <v>60</v>
      </c>
      <c r="L6" s="3">
        <v>60</v>
      </c>
      <c r="M6" s="3">
        <v>60</v>
      </c>
      <c r="N6" s="3">
        <v>60</v>
      </c>
      <c r="O6" s="3">
        <v>60</v>
      </c>
      <c r="P6" s="3">
        <v>60</v>
      </c>
      <c r="Q6" s="3">
        <v>60</v>
      </c>
      <c r="R6" s="3">
        <v>50</v>
      </c>
      <c r="S6" s="3">
        <v>50</v>
      </c>
      <c r="T6" s="3">
        <v>50</v>
      </c>
      <c r="U6" s="3">
        <v>50</v>
      </c>
      <c r="V6" s="3">
        <v>50</v>
      </c>
      <c r="W6" s="3">
        <v>29</v>
      </c>
      <c r="X6" s="3">
        <v>0</v>
      </c>
      <c r="Y6" s="2"/>
    </row>
    <row r="7" spans="1:25" ht="14.45" x14ac:dyDescent="0.3">
      <c r="A7" t="s">
        <v>32</v>
      </c>
      <c r="D7" s="33">
        <f>+D8/C8-1</f>
        <v>9.8654708520179435E-2</v>
      </c>
      <c r="E7" s="33">
        <v>0</v>
      </c>
      <c r="F7" s="33">
        <v>0.05</v>
      </c>
      <c r="G7" s="33">
        <v>0.05</v>
      </c>
      <c r="H7" s="53">
        <f t="shared" ref="H7:X7" si="2">+G7</f>
        <v>0.05</v>
      </c>
      <c r="I7" s="26">
        <f t="shared" si="2"/>
        <v>0.05</v>
      </c>
      <c r="J7" s="26">
        <f t="shared" si="2"/>
        <v>0.05</v>
      </c>
      <c r="K7" s="26">
        <f t="shared" si="2"/>
        <v>0.05</v>
      </c>
      <c r="L7" s="26">
        <f t="shared" si="2"/>
        <v>0.05</v>
      </c>
      <c r="M7" s="26">
        <f t="shared" si="2"/>
        <v>0.05</v>
      </c>
      <c r="N7" s="26">
        <f t="shared" si="2"/>
        <v>0.05</v>
      </c>
      <c r="O7" s="26">
        <f t="shared" si="2"/>
        <v>0.05</v>
      </c>
      <c r="P7" s="26">
        <f t="shared" si="2"/>
        <v>0.05</v>
      </c>
      <c r="Q7" s="26">
        <f t="shared" si="2"/>
        <v>0.05</v>
      </c>
      <c r="R7" s="26">
        <f t="shared" si="2"/>
        <v>0.05</v>
      </c>
      <c r="S7" s="26">
        <f t="shared" si="2"/>
        <v>0.05</v>
      </c>
      <c r="T7" s="26">
        <f t="shared" si="2"/>
        <v>0.05</v>
      </c>
      <c r="U7" s="26">
        <f t="shared" si="2"/>
        <v>0.05</v>
      </c>
      <c r="V7" s="26">
        <f t="shared" si="2"/>
        <v>0.05</v>
      </c>
      <c r="W7" s="26">
        <f t="shared" si="2"/>
        <v>0.05</v>
      </c>
      <c r="X7" s="26">
        <f t="shared" si="2"/>
        <v>0.05</v>
      </c>
      <c r="Y7" s="2"/>
    </row>
    <row r="8" spans="1:25" ht="14.45" x14ac:dyDescent="0.3">
      <c r="A8" t="s">
        <v>3</v>
      </c>
      <c r="C8" s="3">
        <f>55.75*12</f>
        <v>669</v>
      </c>
      <c r="D8" s="3">
        <v>735</v>
      </c>
      <c r="E8" s="3">
        <v>735</v>
      </c>
      <c r="F8" s="3">
        <v>772</v>
      </c>
      <c r="G8" s="3">
        <v>810</v>
      </c>
      <c r="H8" s="24">
        <v>850</v>
      </c>
      <c r="I8" s="4">
        <f t="shared" ref="I8:X8" si="3">+H8*(1+I7)</f>
        <v>892.5</v>
      </c>
      <c r="J8" s="4">
        <f t="shared" si="3"/>
        <v>937.125</v>
      </c>
      <c r="K8" s="4">
        <f t="shared" si="3"/>
        <v>983.98125000000005</v>
      </c>
      <c r="L8" s="4">
        <f t="shared" si="3"/>
        <v>1033.1803125000001</v>
      </c>
      <c r="M8" s="4">
        <f t="shared" si="3"/>
        <v>1084.8393281250003</v>
      </c>
      <c r="N8" s="4">
        <f t="shared" si="3"/>
        <v>1139.0812945312503</v>
      </c>
      <c r="O8" s="4">
        <f t="shared" si="3"/>
        <v>1196.0353592578128</v>
      </c>
      <c r="P8" s="4">
        <f t="shared" si="3"/>
        <v>1255.8371272207035</v>
      </c>
      <c r="Q8" s="4">
        <f t="shared" si="3"/>
        <v>1318.6289835817386</v>
      </c>
      <c r="R8" s="4">
        <f t="shared" si="3"/>
        <v>1384.5604327608255</v>
      </c>
      <c r="S8" s="4">
        <f t="shared" si="3"/>
        <v>1453.7884543988669</v>
      </c>
      <c r="T8" s="4">
        <f t="shared" si="3"/>
        <v>1526.4778771188103</v>
      </c>
      <c r="U8" s="4">
        <f t="shared" si="3"/>
        <v>1602.8017709747508</v>
      </c>
      <c r="V8" s="4">
        <f t="shared" si="3"/>
        <v>1682.9418595234883</v>
      </c>
      <c r="W8" s="4">
        <f t="shared" si="3"/>
        <v>1767.0889524996628</v>
      </c>
      <c r="X8" s="4">
        <f t="shared" si="3"/>
        <v>1855.4434001246461</v>
      </c>
    </row>
    <row r="9" spans="1:25" ht="14.45" x14ac:dyDescent="0.3">
      <c r="A9" t="s">
        <v>4</v>
      </c>
      <c r="E9" s="44"/>
      <c r="F9" s="51"/>
      <c r="G9" s="44"/>
      <c r="H9" s="36">
        <v>3.5000000000000003E-2</v>
      </c>
      <c r="I9" s="17">
        <f t="shared" ref="I9:X9" si="4">+H9</f>
        <v>3.5000000000000003E-2</v>
      </c>
      <c r="J9" s="17">
        <f t="shared" si="4"/>
        <v>3.5000000000000003E-2</v>
      </c>
      <c r="K9" s="17">
        <f t="shared" si="4"/>
        <v>3.5000000000000003E-2</v>
      </c>
      <c r="L9" s="17">
        <f t="shared" si="4"/>
        <v>3.5000000000000003E-2</v>
      </c>
      <c r="M9" s="17">
        <f t="shared" si="4"/>
        <v>3.5000000000000003E-2</v>
      </c>
      <c r="N9" s="17">
        <f t="shared" si="4"/>
        <v>3.5000000000000003E-2</v>
      </c>
      <c r="O9" s="17">
        <f t="shared" si="4"/>
        <v>3.5000000000000003E-2</v>
      </c>
      <c r="P9" s="17">
        <f t="shared" si="4"/>
        <v>3.5000000000000003E-2</v>
      </c>
      <c r="Q9" s="17">
        <f t="shared" si="4"/>
        <v>3.5000000000000003E-2</v>
      </c>
      <c r="R9" s="17">
        <f t="shared" si="4"/>
        <v>3.5000000000000003E-2</v>
      </c>
      <c r="S9" s="17">
        <f t="shared" si="4"/>
        <v>3.5000000000000003E-2</v>
      </c>
      <c r="T9" s="17">
        <f t="shared" si="4"/>
        <v>3.5000000000000003E-2</v>
      </c>
      <c r="U9" s="17">
        <f t="shared" si="4"/>
        <v>3.5000000000000003E-2</v>
      </c>
      <c r="V9" s="17">
        <f t="shared" si="4"/>
        <v>3.5000000000000003E-2</v>
      </c>
      <c r="W9" s="17">
        <f t="shared" si="4"/>
        <v>3.5000000000000003E-2</v>
      </c>
      <c r="X9" s="17">
        <f t="shared" si="4"/>
        <v>3.5000000000000003E-2</v>
      </c>
    </row>
    <row r="10" spans="1:25" ht="14.45" x14ac:dyDescent="0.3">
      <c r="A10" t="s">
        <v>24</v>
      </c>
      <c r="E10" s="45"/>
      <c r="F10" s="45"/>
      <c r="G10" s="45"/>
      <c r="H10" s="37"/>
      <c r="I10" s="16">
        <v>25</v>
      </c>
      <c r="J10" s="16">
        <v>25</v>
      </c>
      <c r="K10" s="16">
        <v>25</v>
      </c>
      <c r="L10" s="16">
        <v>25</v>
      </c>
      <c r="M10" s="16">
        <v>25</v>
      </c>
      <c r="N10" s="16">
        <v>25</v>
      </c>
      <c r="O10" s="16">
        <v>25</v>
      </c>
      <c r="P10" s="16">
        <v>25</v>
      </c>
      <c r="Q10" s="16">
        <v>25</v>
      </c>
      <c r="R10" s="16">
        <v>25</v>
      </c>
      <c r="S10" s="16">
        <v>25</v>
      </c>
      <c r="T10" s="16">
        <v>0</v>
      </c>
      <c r="U10" s="16">
        <v>0</v>
      </c>
      <c r="V10" s="16">
        <v>0</v>
      </c>
      <c r="W10" s="16">
        <v>0</v>
      </c>
      <c r="X10" s="16">
        <v>0</v>
      </c>
    </row>
    <row r="11" spans="1:25" x14ac:dyDescent="0.25">
      <c r="A11" t="s">
        <v>25</v>
      </c>
      <c r="D11" s="18">
        <v>4.2500000000000003E-2</v>
      </c>
      <c r="E11" s="46">
        <v>4.2500000000000003E-2</v>
      </c>
      <c r="F11" s="46">
        <v>4.2500000000000003E-2</v>
      </c>
      <c r="G11" s="62">
        <v>3.2500000000000001E-2</v>
      </c>
      <c r="H11" s="60">
        <v>3.2500000000000001E-2</v>
      </c>
      <c r="I11" s="61">
        <v>3.2500000000000001E-2</v>
      </c>
      <c r="J11" s="18">
        <v>4.2500000000000003E-2</v>
      </c>
      <c r="K11" s="18">
        <v>4.2500000000000003E-2</v>
      </c>
      <c r="L11" s="18">
        <v>4.2500000000000003E-2</v>
      </c>
      <c r="M11" s="18">
        <v>4.2500000000000003E-2</v>
      </c>
      <c r="N11" s="18">
        <v>4.2500000000000003E-2</v>
      </c>
      <c r="O11" s="18">
        <v>4.2500000000000003E-2</v>
      </c>
      <c r="P11" s="18">
        <v>4.2500000000000003E-2</v>
      </c>
      <c r="Q11" s="18">
        <v>4.2500000000000003E-2</v>
      </c>
      <c r="R11" s="18">
        <v>4.2500000000000003E-2</v>
      </c>
      <c r="S11" s="18">
        <v>4.2500000000000003E-2</v>
      </c>
      <c r="T11" s="18">
        <v>4.2500000000000003E-2</v>
      </c>
      <c r="U11" s="18">
        <v>4.2500000000000003E-2</v>
      </c>
      <c r="V11" s="18">
        <v>4.2500000000000003E-2</v>
      </c>
      <c r="W11" s="18">
        <v>4.2500000000000003E-2</v>
      </c>
      <c r="X11" s="18">
        <v>4.2500000000000003E-2</v>
      </c>
    </row>
    <row r="12" spans="1:25" x14ac:dyDescent="0.25">
      <c r="H12" s="21"/>
    </row>
    <row r="13" spans="1:25" x14ac:dyDescent="0.25">
      <c r="A13" s="7" t="s">
        <v>41</v>
      </c>
      <c r="H13" s="39"/>
    </row>
    <row r="14" spans="1:25" x14ac:dyDescent="0.25">
      <c r="A14" t="s">
        <v>2</v>
      </c>
      <c r="C14" s="3">
        <v>214</v>
      </c>
      <c r="D14" s="3">
        <v>267</v>
      </c>
      <c r="E14" s="3">
        <v>297</v>
      </c>
      <c r="F14" s="34">
        <v>348</v>
      </c>
      <c r="G14" s="34">
        <v>398</v>
      </c>
      <c r="H14" s="24">
        <v>458</v>
      </c>
      <c r="I14" s="4">
        <f t="shared" ref="I14:X14" si="5">+(I5+H5)/2*I8/1000</f>
        <v>536.39250000000004</v>
      </c>
      <c r="J14" s="4">
        <f t="shared" si="5"/>
        <v>619.43962499999998</v>
      </c>
      <c r="K14" s="4">
        <f t="shared" si="5"/>
        <v>709.45048125000005</v>
      </c>
      <c r="L14" s="4">
        <f t="shared" si="5"/>
        <v>806.91382406250011</v>
      </c>
      <c r="M14" s="4">
        <f t="shared" si="5"/>
        <v>912.34987495312521</v>
      </c>
      <c r="N14" s="4">
        <f t="shared" si="5"/>
        <v>1026.3122463726563</v>
      </c>
      <c r="O14" s="4">
        <f t="shared" si="5"/>
        <v>1149.3899802467581</v>
      </c>
      <c r="P14" s="4">
        <f t="shared" si="5"/>
        <v>1282.2097068923381</v>
      </c>
      <c r="Q14" s="4">
        <f t="shared" si="5"/>
        <v>1425.4379312518593</v>
      </c>
      <c r="R14" s="4">
        <f t="shared" si="5"/>
        <v>1572.8606516162977</v>
      </c>
      <c r="S14" s="4">
        <f t="shared" si="5"/>
        <v>1724.193106917056</v>
      </c>
      <c r="T14" s="4">
        <f t="shared" si="5"/>
        <v>1886.7266561188496</v>
      </c>
      <c r="U14" s="4">
        <f t="shared" si="5"/>
        <v>2061.2030774735294</v>
      </c>
      <c r="V14" s="4">
        <f t="shared" si="5"/>
        <v>2248.4103243233803</v>
      </c>
      <c r="W14" s="4">
        <f t="shared" si="5"/>
        <v>2430.6308541632861</v>
      </c>
      <c r="X14" s="4">
        <f t="shared" si="5"/>
        <v>2579.0663261732579</v>
      </c>
    </row>
    <row r="15" spans="1:25" x14ac:dyDescent="0.25">
      <c r="A15" t="s">
        <v>5</v>
      </c>
      <c r="C15" s="3">
        <v>5</v>
      </c>
      <c r="D15" s="3">
        <v>5</v>
      </c>
      <c r="E15" s="3">
        <v>5</v>
      </c>
      <c r="F15" s="34">
        <v>5</v>
      </c>
      <c r="G15" s="34">
        <v>5</v>
      </c>
      <c r="H15" s="24">
        <v>5</v>
      </c>
      <c r="I15" s="4">
        <f t="shared" ref="I15:X15" si="6">+H15*(1+I$9)</f>
        <v>5.1749999999999998</v>
      </c>
      <c r="J15" s="4">
        <f t="shared" si="6"/>
        <v>5.3561249999999996</v>
      </c>
      <c r="K15" s="4">
        <f t="shared" si="6"/>
        <v>5.5435893749999989</v>
      </c>
      <c r="L15" s="4">
        <f t="shared" si="6"/>
        <v>5.7376150031249988</v>
      </c>
      <c r="M15" s="4">
        <f t="shared" si="6"/>
        <v>5.9384315282343731</v>
      </c>
      <c r="N15" s="4">
        <f t="shared" si="6"/>
        <v>6.1462766317225759</v>
      </c>
      <c r="O15" s="4">
        <f t="shared" si="6"/>
        <v>6.3613963138328655</v>
      </c>
      <c r="P15" s="4">
        <f t="shared" si="6"/>
        <v>6.5840451848170156</v>
      </c>
      <c r="Q15" s="4">
        <f t="shared" si="6"/>
        <v>6.8144867662856106</v>
      </c>
      <c r="R15" s="4">
        <f t="shared" si="6"/>
        <v>7.0529938031056068</v>
      </c>
      <c r="S15" s="4">
        <f t="shared" si="6"/>
        <v>7.2998485862143028</v>
      </c>
      <c r="T15" s="4">
        <f t="shared" si="6"/>
        <v>7.5553432867318024</v>
      </c>
      <c r="U15" s="4">
        <f t="shared" si="6"/>
        <v>7.8197803017674152</v>
      </c>
      <c r="V15" s="4">
        <f t="shared" si="6"/>
        <v>8.0934726123292737</v>
      </c>
      <c r="W15" s="4">
        <f t="shared" si="6"/>
        <v>8.3767441537607983</v>
      </c>
      <c r="X15" s="4">
        <f t="shared" si="6"/>
        <v>8.669930199142426</v>
      </c>
    </row>
    <row r="16" spans="1:25" x14ac:dyDescent="0.25">
      <c r="A16" t="s">
        <v>39</v>
      </c>
      <c r="C16" s="3">
        <v>4</v>
      </c>
      <c r="D16" s="3">
        <v>3</v>
      </c>
      <c r="E16" s="3">
        <v>20</v>
      </c>
      <c r="F16" s="34">
        <v>5</v>
      </c>
      <c r="G16" s="34">
        <v>5</v>
      </c>
      <c r="H16" s="24">
        <v>1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</row>
    <row r="17" spans="1:25" x14ac:dyDescent="0.25">
      <c r="A17" t="s">
        <v>6</v>
      </c>
      <c r="C17" s="34">
        <v>0</v>
      </c>
      <c r="D17" s="34">
        <v>0</v>
      </c>
      <c r="E17" s="34">
        <v>0</v>
      </c>
      <c r="F17" s="34">
        <v>0</v>
      </c>
      <c r="G17" s="34">
        <v>0</v>
      </c>
      <c r="H17" s="30">
        <v>0</v>
      </c>
      <c r="I17" s="4">
        <f t="shared" ref="I17:X17" si="7">-0.015*I14</f>
        <v>-8.045887500000001</v>
      </c>
      <c r="J17" s="4">
        <f t="shared" si="7"/>
        <v>-9.291594374999999</v>
      </c>
      <c r="K17" s="4">
        <f t="shared" si="7"/>
        <v>-10.64175721875</v>
      </c>
      <c r="L17" s="4">
        <f t="shared" si="7"/>
        <v>-12.103707360937502</v>
      </c>
      <c r="M17" s="4">
        <f t="shared" si="7"/>
        <v>-13.685248124296878</v>
      </c>
      <c r="N17" s="4">
        <f t="shared" si="7"/>
        <v>-15.394683695589844</v>
      </c>
      <c r="O17" s="4">
        <f t="shared" si="7"/>
        <v>-17.240849703701372</v>
      </c>
      <c r="P17" s="4">
        <f t="shared" si="7"/>
        <v>-19.233145603385072</v>
      </c>
      <c r="Q17" s="4">
        <f t="shared" si="7"/>
        <v>-21.381568968777888</v>
      </c>
      <c r="R17" s="4">
        <f t="shared" si="7"/>
        <v>-23.592909774244465</v>
      </c>
      <c r="S17" s="4">
        <f t="shared" si="7"/>
        <v>-25.862896603755839</v>
      </c>
      <c r="T17" s="4">
        <f t="shared" si="7"/>
        <v>-28.300899841782744</v>
      </c>
      <c r="U17" s="4">
        <f t="shared" si="7"/>
        <v>-30.918046162102939</v>
      </c>
      <c r="V17" s="4">
        <f t="shared" si="7"/>
        <v>-33.726154864850706</v>
      </c>
      <c r="W17" s="4">
        <f t="shared" si="7"/>
        <v>-36.459462812449289</v>
      </c>
      <c r="X17" s="4">
        <f t="shared" si="7"/>
        <v>-38.68599489259887</v>
      </c>
    </row>
    <row r="18" spans="1:25" x14ac:dyDescent="0.25">
      <c r="A18" t="s">
        <v>12</v>
      </c>
      <c r="C18" s="3">
        <f>940-77-359</f>
        <v>504</v>
      </c>
      <c r="D18" s="3">
        <v>580</v>
      </c>
      <c r="E18" s="3">
        <v>672</v>
      </c>
      <c r="F18" s="52">
        <v>696</v>
      </c>
      <c r="G18" s="52">
        <v>717</v>
      </c>
      <c r="H18" s="30">
        <v>767</v>
      </c>
      <c r="I18" s="10">
        <f t="shared" ref="I18:X18" si="8">+H18*(1+I9)+I10</f>
        <v>818.84499999999991</v>
      </c>
      <c r="J18" s="10">
        <f t="shared" si="8"/>
        <v>872.50457499999982</v>
      </c>
      <c r="K18" s="10">
        <f t="shared" si="8"/>
        <v>928.04223512499971</v>
      </c>
      <c r="L18" s="10">
        <f t="shared" si="8"/>
        <v>985.52371335437465</v>
      </c>
      <c r="M18" s="10">
        <f t="shared" si="8"/>
        <v>1045.0170433217777</v>
      </c>
      <c r="N18" s="10">
        <f t="shared" si="8"/>
        <v>1106.5926398380398</v>
      </c>
      <c r="O18" s="10">
        <f t="shared" si="8"/>
        <v>1170.3233822323712</v>
      </c>
      <c r="P18" s="10">
        <f t="shared" si="8"/>
        <v>1236.2847006105042</v>
      </c>
      <c r="Q18" s="10">
        <f t="shared" si="8"/>
        <v>1304.5546651318716</v>
      </c>
      <c r="R18" s="10">
        <f t="shared" si="8"/>
        <v>1375.214078411487</v>
      </c>
      <c r="S18" s="10">
        <f t="shared" si="8"/>
        <v>1448.346571155889</v>
      </c>
      <c r="T18" s="10">
        <f t="shared" si="8"/>
        <v>1499.0387011463449</v>
      </c>
      <c r="U18" s="10">
        <f t="shared" si="8"/>
        <v>1551.5050556864669</v>
      </c>
      <c r="V18" s="10">
        <f t="shared" si="8"/>
        <v>1605.807732635493</v>
      </c>
      <c r="W18" s="10">
        <f t="shared" si="8"/>
        <v>1662.0110032777352</v>
      </c>
      <c r="X18" s="10">
        <f t="shared" si="8"/>
        <v>1720.1813883924558</v>
      </c>
      <c r="Y18" s="10"/>
    </row>
    <row r="19" spans="1:25" x14ac:dyDescent="0.25">
      <c r="A19" s="6" t="s">
        <v>43</v>
      </c>
      <c r="C19" s="13">
        <f>SUM(C14:C18)</f>
        <v>727</v>
      </c>
      <c r="D19" s="35">
        <f t="shared" ref="D19:X19" si="9">SUM(D14:D18)</f>
        <v>855</v>
      </c>
      <c r="E19" s="35">
        <f t="shared" si="9"/>
        <v>994</v>
      </c>
      <c r="F19" s="35">
        <f t="shared" si="9"/>
        <v>1054</v>
      </c>
      <c r="G19" s="35">
        <f t="shared" si="9"/>
        <v>1125</v>
      </c>
      <c r="H19" s="29">
        <f t="shared" si="9"/>
        <v>1231</v>
      </c>
      <c r="I19" s="13">
        <f t="shared" si="9"/>
        <v>1352.3666125</v>
      </c>
      <c r="J19" s="13">
        <f t="shared" si="9"/>
        <v>1488.0087306249998</v>
      </c>
      <c r="K19" s="13">
        <f t="shared" si="9"/>
        <v>1632.3945485312497</v>
      </c>
      <c r="L19" s="13">
        <f t="shared" si="9"/>
        <v>1786.0714450590622</v>
      </c>
      <c r="M19" s="13">
        <f t="shared" si="9"/>
        <v>1949.6201016788405</v>
      </c>
      <c r="N19" s="13">
        <f t="shared" si="9"/>
        <v>2123.656479146829</v>
      </c>
      <c r="O19" s="13">
        <f t="shared" si="9"/>
        <v>2308.8339090892605</v>
      </c>
      <c r="P19" s="13">
        <f t="shared" si="9"/>
        <v>2505.8453070842743</v>
      </c>
      <c r="Q19" s="13">
        <f t="shared" si="9"/>
        <v>2715.4255141812387</v>
      </c>
      <c r="R19" s="13">
        <f t="shared" si="9"/>
        <v>2931.5348140566457</v>
      </c>
      <c r="S19" s="13">
        <f t="shared" si="9"/>
        <v>3153.9766300554033</v>
      </c>
      <c r="T19" s="13">
        <f t="shared" si="9"/>
        <v>3365.0198007101435</v>
      </c>
      <c r="U19" s="13">
        <f t="shared" si="9"/>
        <v>3589.6098672996609</v>
      </c>
      <c r="V19" s="13">
        <f t="shared" si="9"/>
        <v>3828.585374706352</v>
      </c>
      <c r="W19" s="13">
        <f t="shared" si="9"/>
        <v>4064.5591387823329</v>
      </c>
      <c r="X19" s="13">
        <f t="shared" si="9"/>
        <v>4269.2316498722575</v>
      </c>
    </row>
    <row r="20" spans="1:25" ht="23.45" customHeight="1" x14ac:dyDescent="0.25">
      <c r="A20" s="56" t="s">
        <v>53</v>
      </c>
      <c r="D20" s="55">
        <f>+D19/C19-1</f>
        <v>0.17606602475928468</v>
      </c>
      <c r="E20" s="55">
        <f t="shared" ref="E20:X20" si="10">+E19/D19-1</f>
        <v>0.16257309941520459</v>
      </c>
      <c r="F20" s="55">
        <f t="shared" si="10"/>
        <v>6.0362173038229328E-2</v>
      </c>
      <c r="G20" s="55">
        <f t="shared" si="10"/>
        <v>6.7362428842504762E-2</v>
      </c>
      <c r="H20" s="57">
        <f t="shared" si="10"/>
        <v>9.4222222222222207E-2</v>
      </c>
      <c r="I20" s="55">
        <f t="shared" si="10"/>
        <v>9.8591886677497964E-2</v>
      </c>
      <c r="J20" s="55">
        <f t="shared" si="10"/>
        <v>0.10029981284013689</v>
      </c>
      <c r="K20" s="55">
        <f t="shared" si="10"/>
        <v>9.7032910449123877E-2</v>
      </c>
      <c r="L20" s="55">
        <f t="shared" si="10"/>
        <v>9.4142005476607116E-2</v>
      </c>
      <c r="M20" s="55">
        <f t="shared" si="10"/>
        <v>9.1568933074998027E-2</v>
      </c>
      <c r="N20" s="55">
        <f t="shared" si="10"/>
        <v>8.9266815272433853E-2</v>
      </c>
      <c r="O20" s="55">
        <f t="shared" si="10"/>
        <v>8.7197450134131715E-2</v>
      </c>
      <c r="P20" s="55">
        <f t="shared" si="10"/>
        <v>8.5329393863903702E-2</v>
      </c>
      <c r="Q20" s="55">
        <f t="shared" si="10"/>
        <v>8.363653035742491E-2</v>
      </c>
      <c r="R20" s="55">
        <f t="shared" si="10"/>
        <v>7.9585795576708751E-2</v>
      </c>
      <c r="S20" s="55">
        <f t="shared" si="10"/>
        <v>7.5878961058948979E-2</v>
      </c>
      <c r="T20" s="55">
        <f t="shared" si="10"/>
        <v>6.6913359041291587E-2</v>
      </c>
      <c r="U20" s="55">
        <f t="shared" si="10"/>
        <v>6.6742569105275651E-2</v>
      </c>
      <c r="V20" s="55">
        <f t="shared" si="10"/>
        <v>6.6574228465241081E-2</v>
      </c>
      <c r="W20" s="55">
        <f t="shared" si="10"/>
        <v>6.1634713864537893E-2</v>
      </c>
      <c r="X20" s="55">
        <f t="shared" si="10"/>
        <v>5.0355402419176132E-2</v>
      </c>
    </row>
    <row r="21" spans="1:25" x14ac:dyDescent="0.25">
      <c r="A21" s="7" t="s">
        <v>44</v>
      </c>
      <c r="H21" s="21"/>
    </row>
    <row r="22" spans="1:25" x14ac:dyDescent="0.25">
      <c r="A22" t="s">
        <v>40</v>
      </c>
      <c r="C22" s="8">
        <f>508-178+42</f>
        <v>372</v>
      </c>
      <c r="D22" s="8">
        <v>347</v>
      </c>
      <c r="E22" s="8">
        <f>563-229+46</f>
        <v>380</v>
      </c>
      <c r="F22" s="8">
        <f>589-252+43</f>
        <v>380</v>
      </c>
      <c r="G22" s="8">
        <f>45+565-207</f>
        <v>403</v>
      </c>
      <c r="H22" s="30">
        <f>203+132+270-210</f>
        <v>395</v>
      </c>
      <c r="I22" s="9">
        <f t="shared" ref="I22:W23" si="11">+H22*(1+I$9)</f>
        <v>408.82499999999999</v>
      </c>
      <c r="J22" s="9">
        <f t="shared" si="11"/>
        <v>423.13387499999993</v>
      </c>
      <c r="K22" s="9">
        <f t="shared" si="11"/>
        <v>437.94356062499992</v>
      </c>
      <c r="L22" s="9">
        <f t="shared" si="11"/>
        <v>453.27158524687491</v>
      </c>
      <c r="M22" s="9">
        <f t="shared" si="11"/>
        <v>469.13609073051549</v>
      </c>
      <c r="N22" s="9">
        <f t="shared" si="11"/>
        <v>485.55585390608348</v>
      </c>
      <c r="O22" s="9">
        <f t="shared" si="11"/>
        <v>502.55030879279639</v>
      </c>
      <c r="P22" s="9">
        <f t="shared" si="11"/>
        <v>520.13956960054418</v>
      </c>
      <c r="Q22" s="9">
        <f t="shared" si="11"/>
        <v>538.34445453656315</v>
      </c>
      <c r="R22" s="9">
        <f t="shared" si="11"/>
        <v>557.18651044534283</v>
      </c>
      <c r="S22" s="9">
        <f t="shared" si="11"/>
        <v>576.68803831092976</v>
      </c>
      <c r="T22" s="9">
        <f t="shared" si="11"/>
        <v>596.87211965181223</v>
      </c>
      <c r="U22" s="9">
        <f t="shared" si="11"/>
        <v>617.76264383962564</v>
      </c>
      <c r="V22" s="9">
        <f t="shared" si="11"/>
        <v>639.38433637401249</v>
      </c>
      <c r="W22" s="9">
        <f t="shared" si="11"/>
        <v>661.76278814710292</v>
      </c>
      <c r="X22" s="9">
        <f t="shared" ref="V22:X23" si="12">+W22*(1+X$9)</f>
        <v>684.92448573225147</v>
      </c>
    </row>
    <row r="23" spans="1:25" x14ac:dyDescent="0.25">
      <c r="A23" t="s">
        <v>8</v>
      </c>
      <c r="C23" s="8">
        <v>772</v>
      </c>
      <c r="D23" s="8">
        <v>733</v>
      </c>
      <c r="E23" s="8">
        <v>698</v>
      </c>
      <c r="F23" s="8">
        <v>729</v>
      </c>
      <c r="G23" s="8">
        <v>748</v>
      </c>
      <c r="H23" s="30">
        <f>852-76</f>
        <v>776</v>
      </c>
      <c r="I23" s="9">
        <f t="shared" si="11"/>
        <v>803.16</v>
      </c>
      <c r="J23" s="9">
        <f t="shared" si="11"/>
        <v>831.27059999999994</v>
      </c>
      <c r="K23" s="9">
        <f t="shared" si="11"/>
        <v>860.36507099999983</v>
      </c>
      <c r="L23" s="9">
        <f t="shared" si="11"/>
        <v>890.47784848499975</v>
      </c>
      <c r="M23" s="9">
        <f t="shared" si="11"/>
        <v>921.64457318197469</v>
      </c>
      <c r="N23" s="9">
        <f t="shared" si="11"/>
        <v>953.90213324334377</v>
      </c>
      <c r="O23" s="9">
        <f t="shared" si="11"/>
        <v>987.28870790686074</v>
      </c>
      <c r="P23" s="9">
        <f t="shared" si="11"/>
        <v>1021.8438126836007</v>
      </c>
      <c r="Q23" s="9">
        <f t="shared" si="11"/>
        <v>1057.6083461275266</v>
      </c>
      <c r="R23" s="9">
        <f t="shared" si="11"/>
        <v>1094.6246382419899</v>
      </c>
      <c r="S23" s="9">
        <f t="shared" si="11"/>
        <v>1132.9365005804596</v>
      </c>
      <c r="T23" s="9">
        <f t="shared" si="11"/>
        <v>1172.5892781007756</v>
      </c>
      <c r="U23" s="9">
        <f t="shared" si="11"/>
        <v>1213.6299028343026</v>
      </c>
      <c r="V23" s="9">
        <f t="shared" si="12"/>
        <v>1256.1069494335031</v>
      </c>
      <c r="W23" s="9">
        <f t="shared" si="12"/>
        <v>1300.0706926636756</v>
      </c>
      <c r="X23" s="9">
        <f t="shared" si="12"/>
        <v>1345.5731669069041</v>
      </c>
    </row>
    <row r="24" spans="1:25" x14ac:dyDescent="0.25">
      <c r="A24" t="s">
        <v>30</v>
      </c>
      <c r="C24" s="8">
        <v>0</v>
      </c>
      <c r="D24" s="8">
        <v>0</v>
      </c>
      <c r="E24" s="8">
        <v>0</v>
      </c>
      <c r="F24" s="8">
        <v>0</v>
      </c>
      <c r="G24" s="8">
        <v>0</v>
      </c>
      <c r="H24" s="30">
        <v>0</v>
      </c>
      <c r="I24" s="9">
        <f t="shared" ref="I24:X24" si="13">+H24*(1+I9)</f>
        <v>0</v>
      </c>
      <c r="J24" s="9">
        <f t="shared" si="13"/>
        <v>0</v>
      </c>
      <c r="K24" s="9">
        <f t="shared" si="13"/>
        <v>0</v>
      </c>
      <c r="L24" s="9">
        <f t="shared" si="13"/>
        <v>0</v>
      </c>
      <c r="M24" s="9">
        <f t="shared" si="13"/>
        <v>0</v>
      </c>
      <c r="N24" s="9">
        <f t="shared" si="13"/>
        <v>0</v>
      </c>
      <c r="O24" s="9">
        <f t="shared" si="13"/>
        <v>0</v>
      </c>
      <c r="P24" s="9">
        <f t="shared" si="13"/>
        <v>0</v>
      </c>
      <c r="Q24" s="9">
        <f t="shared" si="13"/>
        <v>0</v>
      </c>
      <c r="R24" s="9">
        <f t="shared" si="13"/>
        <v>0</v>
      </c>
      <c r="S24" s="9">
        <f t="shared" si="13"/>
        <v>0</v>
      </c>
      <c r="T24" s="9">
        <f t="shared" si="13"/>
        <v>0</v>
      </c>
      <c r="U24" s="9">
        <f t="shared" si="13"/>
        <v>0</v>
      </c>
      <c r="V24" s="9">
        <f t="shared" si="13"/>
        <v>0</v>
      </c>
      <c r="W24" s="9">
        <f t="shared" si="13"/>
        <v>0</v>
      </c>
      <c r="X24" s="9">
        <f t="shared" si="13"/>
        <v>0</v>
      </c>
    </row>
    <row r="25" spans="1:25" x14ac:dyDescent="0.25">
      <c r="A25" t="s">
        <v>9</v>
      </c>
      <c r="C25" s="8">
        <f>116+42-47</f>
        <v>111</v>
      </c>
      <c r="D25" s="8">
        <v>81</v>
      </c>
      <c r="E25" s="8">
        <f>98+46-57</f>
        <v>87</v>
      </c>
      <c r="F25" s="8">
        <f>111-13</f>
        <v>98</v>
      </c>
      <c r="G25" s="8">
        <f>118-3</f>
        <v>115</v>
      </c>
      <c r="H25" s="30">
        <v>108</v>
      </c>
      <c r="I25" s="9">
        <f t="shared" ref="I25:X25" si="14">+H25*(1+I$9)*1.02</f>
        <v>114.01559999999999</v>
      </c>
      <c r="J25" s="9">
        <f t="shared" si="14"/>
        <v>120.36626891999998</v>
      </c>
      <c r="K25" s="9">
        <f t="shared" si="14"/>
        <v>127.07067009884398</v>
      </c>
      <c r="L25" s="9">
        <f t="shared" si="14"/>
        <v>134.14850642334957</v>
      </c>
      <c r="M25" s="9">
        <f t="shared" si="14"/>
        <v>141.62057823113014</v>
      </c>
      <c r="N25" s="9">
        <f t="shared" si="14"/>
        <v>149.50884443860406</v>
      </c>
      <c r="O25" s="9">
        <f t="shared" si="14"/>
        <v>157.83648707383429</v>
      </c>
      <c r="P25" s="9">
        <f t="shared" si="14"/>
        <v>166.62797940384684</v>
      </c>
      <c r="Q25" s="9">
        <f t="shared" si="14"/>
        <v>175.90915785664109</v>
      </c>
      <c r="R25" s="9">
        <f t="shared" si="14"/>
        <v>185.707297949256</v>
      </c>
      <c r="S25" s="9">
        <f t="shared" si="14"/>
        <v>196.05119444502955</v>
      </c>
      <c r="T25" s="9">
        <f t="shared" si="14"/>
        <v>206.97124597561768</v>
      </c>
      <c r="U25" s="9">
        <f t="shared" si="14"/>
        <v>218.49954437645957</v>
      </c>
      <c r="V25" s="9">
        <f t="shared" si="14"/>
        <v>230.66996899822837</v>
      </c>
      <c r="W25" s="9">
        <f t="shared" si="14"/>
        <v>243.51828627142967</v>
      </c>
      <c r="X25" s="9">
        <f t="shared" si="14"/>
        <v>257.08225481674828</v>
      </c>
    </row>
    <row r="26" spans="1:25" x14ac:dyDescent="0.25">
      <c r="A26" t="s">
        <v>10</v>
      </c>
      <c r="C26" s="8">
        <v>22</v>
      </c>
      <c r="D26" s="8">
        <v>14</v>
      </c>
      <c r="E26" s="8">
        <v>31</v>
      </c>
      <c r="F26" s="8">
        <v>15</v>
      </c>
      <c r="G26" s="8">
        <v>18</v>
      </c>
      <c r="H26" s="30">
        <v>-5</v>
      </c>
      <c r="I26" s="8">
        <v>10</v>
      </c>
      <c r="J26" s="8">
        <v>10</v>
      </c>
      <c r="K26" s="8">
        <v>10</v>
      </c>
      <c r="L26" s="8">
        <v>10</v>
      </c>
      <c r="M26" s="8">
        <v>10</v>
      </c>
      <c r="N26" s="8">
        <v>10</v>
      </c>
      <c r="O26" s="8">
        <v>10</v>
      </c>
      <c r="P26" s="8">
        <v>10</v>
      </c>
      <c r="Q26" s="8">
        <v>10</v>
      </c>
      <c r="R26" s="8">
        <v>10</v>
      </c>
      <c r="S26" s="8">
        <v>10</v>
      </c>
      <c r="T26" s="8">
        <v>10</v>
      </c>
      <c r="U26" s="8">
        <v>10</v>
      </c>
      <c r="V26" s="8">
        <v>10</v>
      </c>
      <c r="W26" s="8">
        <v>10</v>
      </c>
      <c r="X26" s="8">
        <v>10</v>
      </c>
    </row>
    <row r="27" spans="1:25" x14ac:dyDescent="0.25">
      <c r="A27" t="s">
        <v>11</v>
      </c>
      <c r="C27" s="8">
        <f>15-9</f>
        <v>6</v>
      </c>
      <c r="D27" s="8">
        <v>4</v>
      </c>
      <c r="E27" s="8">
        <v>8</v>
      </c>
      <c r="F27" s="8">
        <v>8</v>
      </c>
      <c r="G27" s="8">
        <v>13</v>
      </c>
      <c r="H27" s="30">
        <v>25</v>
      </c>
      <c r="I27" s="9">
        <f t="shared" ref="I27:W29" si="15">+H27*(1+I$9)</f>
        <v>25.874999999999996</v>
      </c>
      <c r="J27" s="9">
        <f t="shared" si="15"/>
        <v>26.780624999999993</v>
      </c>
      <c r="K27" s="9">
        <f t="shared" si="15"/>
        <v>27.717946874999992</v>
      </c>
      <c r="L27" s="9">
        <f t="shared" si="15"/>
        <v>28.688075015624989</v>
      </c>
      <c r="M27" s="9">
        <f t="shared" si="15"/>
        <v>29.69215764117186</v>
      </c>
      <c r="N27" s="9">
        <f t="shared" si="15"/>
        <v>30.731383158612871</v>
      </c>
      <c r="O27" s="9">
        <f t="shared" si="15"/>
        <v>31.806981569164318</v>
      </c>
      <c r="P27" s="9">
        <f t="shared" si="15"/>
        <v>32.920225924085067</v>
      </c>
      <c r="Q27" s="9">
        <f t="shared" si="15"/>
        <v>34.072433831428043</v>
      </c>
      <c r="R27" s="9">
        <f t="shared" si="15"/>
        <v>35.264969015528024</v>
      </c>
      <c r="S27" s="9">
        <f t="shared" si="15"/>
        <v>36.4992429310715</v>
      </c>
      <c r="T27" s="9">
        <f t="shared" si="15"/>
        <v>37.776716433658997</v>
      </c>
      <c r="U27" s="9">
        <f t="shared" si="15"/>
        <v>39.098901508837059</v>
      </c>
      <c r="V27" s="9">
        <f t="shared" si="15"/>
        <v>40.467363061646353</v>
      </c>
      <c r="W27" s="9">
        <f t="shared" si="15"/>
        <v>41.883720768803968</v>
      </c>
      <c r="X27" s="9">
        <f t="shared" ref="W27:X29" si="16">+W27*(1+X$9)</f>
        <v>43.349650995712103</v>
      </c>
    </row>
    <row r="28" spans="1:25" x14ac:dyDescent="0.25">
      <c r="A28" t="s">
        <v>13</v>
      </c>
      <c r="C28" s="8">
        <v>32</v>
      </c>
      <c r="D28" s="8">
        <v>29</v>
      </c>
      <c r="E28" s="8">
        <v>30</v>
      </c>
      <c r="F28" s="8">
        <v>30</v>
      </c>
      <c r="G28" s="8">
        <v>20</v>
      </c>
      <c r="H28" s="30">
        <v>23</v>
      </c>
      <c r="I28" s="9">
        <f t="shared" si="15"/>
        <v>23.805</v>
      </c>
      <c r="J28" s="9">
        <f t="shared" si="15"/>
        <v>24.638174999999997</v>
      </c>
      <c r="K28" s="9">
        <f t="shared" si="15"/>
        <v>25.500511124999996</v>
      </c>
      <c r="L28" s="9">
        <f t="shared" si="15"/>
        <v>26.393029014374992</v>
      </c>
      <c r="M28" s="9">
        <f t="shared" si="15"/>
        <v>27.316785029878115</v>
      </c>
      <c r="N28" s="9">
        <f t="shared" si="15"/>
        <v>28.272872505923846</v>
      </c>
      <c r="O28" s="9">
        <f t="shared" si="15"/>
        <v>29.262423043631177</v>
      </c>
      <c r="P28" s="9">
        <f t="shared" si="15"/>
        <v>30.286607850158266</v>
      </c>
      <c r="Q28" s="9">
        <f t="shared" si="15"/>
        <v>31.346639124913803</v>
      </c>
      <c r="R28" s="9">
        <f t="shared" si="15"/>
        <v>32.443771494285784</v>
      </c>
      <c r="S28" s="9">
        <f t="shared" si="15"/>
        <v>33.579303496585787</v>
      </c>
      <c r="T28" s="9">
        <f t="shared" si="15"/>
        <v>34.754579118966284</v>
      </c>
      <c r="U28" s="9">
        <f t="shared" si="15"/>
        <v>35.9709893881301</v>
      </c>
      <c r="V28" s="9">
        <f t="shared" si="15"/>
        <v>37.22997401671465</v>
      </c>
      <c r="W28" s="9">
        <f t="shared" si="16"/>
        <v>38.533023107299663</v>
      </c>
      <c r="X28" s="9">
        <f t="shared" si="16"/>
        <v>39.881678916055151</v>
      </c>
    </row>
    <row r="29" spans="1:25" x14ac:dyDescent="0.25">
      <c r="A29" t="s">
        <v>14</v>
      </c>
      <c r="C29" s="8">
        <v>42</v>
      </c>
      <c r="D29" s="8">
        <v>46</v>
      </c>
      <c r="E29" s="8">
        <v>45</v>
      </c>
      <c r="F29" s="8">
        <v>50</v>
      </c>
      <c r="G29" s="8">
        <v>42</v>
      </c>
      <c r="H29" s="30">
        <v>42</v>
      </c>
      <c r="I29" s="9">
        <f t="shared" si="15"/>
        <v>43.47</v>
      </c>
      <c r="J29" s="9">
        <f t="shared" si="15"/>
        <v>44.991449999999993</v>
      </c>
      <c r="K29" s="9">
        <f t="shared" si="15"/>
        <v>46.566150749999991</v>
      </c>
      <c r="L29" s="9">
        <f t="shared" si="15"/>
        <v>48.195966026249984</v>
      </c>
      <c r="M29" s="9">
        <f t="shared" si="15"/>
        <v>49.882824837168727</v>
      </c>
      <c r="N29" s="9">
        <f t="shared" si="15"/>
        <v>51.628723706469628</v>
      </c>
      <c r="O29" s="9">
        <f t="shared" si="15"/>
        <v>53.435729036196058</v>
      </c>
      <c r="P29" s="9">
        <f t="shared" si="15"/>
        <v>55.305979552462915</v>
      </c>
      <c r="Q29" s="9">
        <f t="shared" si="15"/>
        <v>57.241688836799113</v>
      </c>
      <c r="R29" s="9">
        <f t="shared" si="15"/>
        <v>59.24514794608708</v>
      </c>
      <c r="S29" s="9">
        <f t="shared" si="15"/>
        <v>61.318728124200121</v>
      </c>
      <c r="T29" s="9">
        <f t="shared" si="15"/>
        <v>63.464883608547119</v>
      </c>
      <c r="U29" s="9">
        <f t="shared" si="15"/>
        <v>65.686154534846267</v>
      </c>
      <c r="V29" s="9">
        <f t="shared" si="15"/>
        <v>67.985169943565879</v>
      </c>
      <c r="W29" s="9">
        <f t="shared" si="16"/>
        <v>70.364650891590685</v>
      </c>
      <c r="X29" s="9">
        <f t="shared" si="16"/>
        <v>72.827413672796354</v>
      </c>
    </row>
    <row r="30" spans="1:25" x14ac:dyDescent="0.25">
      <c r="A30" t="s">
        <v>23</v>
      </c>
      <c r="C30" s="8">
        <v>5</v>
      </c>
      <c r="D30" s="8">
        <v>3</v>
      </c>
      <c r="E30" s="8">
        <v>35</v>
      </c>
      <c r="F30" s="8">
        <v>5</v>
      </c>
      <c r="G30" s="63">
        <v>4</v>
      </c>
      <c r="H30" s="41">
        <v>0</v>
      </c>
      <c r="I30" s="15">
        <v>10</v>
      </c>
      <c r="J30" s="15">
        <v>10</v>
      </c>
      <c r="K30" s="15">
        <v>10</v>
      </c>
      <c r="L30" s="15">
        <v>10</v>
      </c>
      <c r="M30" s="15">
        <v>10</v>
      </c>
      <c r="N30" s="15">
        <v>10</v>
      </c>
      <c r="O30" s="15">
        <v>10</v>
      </c>
      <c r="P30" s="15">
        <v>10</v>
      </c>
      <c r="Q30" s="15">
        <v>10</v>
      </c>
      <c r="R30" s="15">
        <v>10</v>
      </c>
      <c r="S30" s="15">
        <v>10</v>
      </c>
      <c r="T30" s="15">
        <v>10</v>
      </c>
      <c r="U30" s="15">
        <v>10</v>
      </c>
      <c r="V30" s="15">
        <v>10</v>
      </c>
      <c r="W30" s="15">
        <v>10</v>
      </c>
      <c r="X30" s="15">
        <v>10</v>
      </c>
    </row>
    <row r="31" spans="1:25" s="6" customFormat="1" x14ac:dyDescent="0.25">
      <c r="A31" s="6" t="s">
        <v>45</v>
      </c>
      <c r="C31" s="12">
        <f>SUM(C22:C30)</f>
        <v>1362</v>
      </c>
      <c r="D31" s="12">
        <f>SUM(D22:D30)</f>
        <v>1257</v>
      </c>
      <c r="E31" s="12">
        <f>SUM(E22:E30)</f>
        <v>1314</v>
      </c>
      <c r="F31" s="12">
        <f>SUM(F22:F30)</f>
        <v>1315</v>
      </c>
      <c r="G31" s="12">
        <f t="shared" ref="G31:X31" si="17">SUM(G22:G30)</f>
        <v>1363</v>
      </c>
      <c r="H31" s="31">
        <f t="shared" si="17"/>
        <v>1364</v>
      </c>
      <c r="I31" s="12">
        <f t="shared" si="17"/>
        <v>1439.1505999999999</v>
      </c>
      <c r="J31" s="12">
        <f t="shared" si="17"/>
        <v>1491.18099392</v>
      </c>
      <c r="K31" s="12">
        <f t="shared" si="17"/>
        <v>1545.1639104738435</v>
      </c>
      <c r="L31" s="12">
        <f t="shared" si="17"/>
        <v>1601.1750102114743</v>
      </c>
      <c r="M31" s="12">
        <f t="shared" si="17"/>
        <v>1659.2930096518389</v>
      </c>
      <c r="N31" s="12">
        <f t="shared" si="17"/>
        <v>1719.5998109590378</v>
      </c>
      <c r="O31" s="12">
        <f t="shared" si="17"/>
        <v>1782.180637422483</v>
      </c>
      <c r="P31" s="12">
        <f t="shared" si="17"/>
        <v>1847.1241750146983</v>
      </c>
      <c r="Q31" s="12">
        <f t="shared" si="17"/>
        <v>1914.5227203138718</v>
      </c>
      <c r="R31" s="12">
        <f t="shared" si="17"/>
        <v>1984.4723350924896</v>
      </c>
      <c r="S31" s="12">
        <f t="shared" si="17"/>
        <v>2057.0730078882762</v>
      </c>
      <c r="T31" s="12">
        <f t="shared" si="17"/>
        <v>2132.4288228893779</v>
      </c>
      <c r="U31" s="12">
        <f t="shared" si="17"/>
        <v>2210.6481364822012</v>
      </c>
      <c r="V31" s="12">
        <f t="shared" si="17"/>
        <v>2291.8437618276707</v>
      </c>
      <c r="W31" s="12">
        <f t="shared" si="17"/>
        <v>2376.1331618499025</v>
      </c>
      <c r="X31" s="12">
        <f t="shared" si="17"/>
        <v>2463.6386510404677</v>
      </c>
    </row>
    <row r="32" spans="1:25" ht="24" customHeight="1" x14ac:dyDescent="0.25">
      <c r="A32" s="56" t="s">
        <v>53</v>
      </c>
      <c r="D32" s="55">
        <f>+D31/C31-1</f>
        <v>-7.7092511013215903E-2</v>
      </c>
      <c r="E32" s="55">
        <f t="shared" ref="E32:X32" si="18">+E31/D31-1</f>
        <v>4.5346062052505909E-2</v>
      </c>
      <c r="F32" s="55">
        <f t="shared" si="18"/>
        <v>7.6103500761037779E-4</v>
      </c>
      <c r="G32" s="55">
        <f t="shared" si="18"/>
        <v>3.6501901140684412E-2</v>
      </c>
      <c r="H32" s="57">
        <f t="shared" si="18"/>
        <v>7.336757153337814E-4</v>
      </c>
      <c r="I32" s="55">
        <f t="shared" si="18"/>
        <v>5.5095747800586459E-2</v>
      </c>
      <c r="J32" s="55">
        <f t="shared" si="18"/>
        <v>3.6153543569380497E-2</v>
      </c>
      <c r="K32" s="55">
        <f t="shared" si="18"/>
        <v>3.6201451583643074E-2</v>
      </c>
      <c r="L32" s="55">
        <f t="shared" si="18"/>
        <v>3.624929326782822E-2</v>
      </c>
      <c r="M32" s="55">
        <f t="shared" si="18"/>
        <v>3.6297093740358166E-2</v>
      </c>
      <c r="N32" s="55">
        <f t="shared" si="18"/>
        <v>3.6344877581237167E-2</v>
      </c>
      <c r="O32" s="55">
        <f t="shared" si="18"/>
        <v>3.6392668843423071E-2</v>
      </c>
      <c r="P32" s="55">
        <f t="shared" si="18"/>
        <v>3.6440491063880698E-2</v>
      </c>
      <c r="Q32" s="55">
        <f t="shared" si="18"/>
        <v>3.6488367274299272E-2</v>
      </c>
      <c r="R32" s="55">
        <f t="shared" si="18"/>
        <v>3.6536320011470114E-2</v>
      </c>
      <c r="S32" s="55">
        <f t="shared" si="18"/>
        <v>3.658437132730441E-2</v>
      </c>
      <c r="T32" s="55">
        <f t="shared" si="18"/>
        <v>3.6632542798497703E-2</v>
      </c>
      <c r="U32" s="55">
        <f t="shared" si="18"/>
        <v>3.6680855535819568E-2</v>
      </c>
      <c r="V32" s="55">
        <f t="shared" si="18"/>
        <v>3.6729330193033816E-2</v>
      </c>
      <c r="W32" s="55">
        <f t="shared" si="18"/>
        <v>3.6777986975435883E-2</v>
      </c>
      <c r="X32" s="55">
        <f t="shared" si="18"/>
        <v>3.6826845648010309E-2</v>
      </c>
    </row>
    <row r="33" spans="1:24" x14ac:dyDescent="0.25">
      <c r="A33" t="s">
        <v>18</v>
      </c>
      <c r="C33" s="8">
        <v>178</v>
      </c>
      <c r="D33" s="8">
        <v>207</v>
      </c>
      <c r="E33" s="8">
        <v>229</v>
      </c>
      <c r="F33" s="8">
        <v>252</v>
      </c>
      <c r="G33" s="8">
        <v>207</v>
      </c>
      <c r="H33" s="30">
        <v>210</v>
      </c>
      <c r="I33" s="4">
        <f t="shared" ref="I33:X33" si="19">MAX((H42+(I31-I19)/2)*I11,0)</f>
        <v>231.28273979687501</v>
      </c>
      <c r="J33" s="4">
        <f t="shared" si="19"/>
        <v>314.18774650513598</v>
      </c>
      <c r="K33" s="4">
        <f t="shared" si="19"/>
        <v>325.75448526790308</v>
      </c>
      <c r="L33" s="4">
        <f t="shared" si="19"/>
        <v>333.81635059255785</v>
      </c>
      <c r="M33" s="4">
        <f t="shared" si="19"/>
        <v>337.90504554665654</v>
      </c>
      <c r="N33" s="4">
        <f t="shared" si="19"/>
        <v>337.51035507782512</v>
      </c>
      <c r="O33" s="4">
        <f t="shared" si="19"/>
        <v>332.0769589467231</v>
      </c>
      <c r="P33" s="4">
        <f t="shared" si="19"/>
        <v>321.00102362256132</v>
      </c>
      <c r="Q33" s="4">
        <f t="shared" si="19"/>
        <v>303.62655870036014</v>
      </c>
      <c r="R33" s="4">
        <f t="shared" si="19"/>
        <v>279.38642539745558</v>
      </c>
      <c r="S33" s="4">
        <f t="shared" si="19"/>
        <v>247.82606882780772</v>
      </c>
      <c r="T33" s="4">
        <f t="shared" si="19"/>
        <v>208.85691650324682</v>
      </c>
      <c r="U33" s="4">
        <f t="shared" si="19"/>
        <v>162.23784039607253</v>
      </c>
      <c r="V33" s="4">
        <f t="shared" si="19"/>
        <v>107.17425255936263</v>
      </c>
      <c r="W33" s="4">
        <f t="shared" si="19"/>
        <v>43.194347009649405</v>
      </c>
      <c r="X33" s="4">
        <f t="shared" si="19"/>
        <v>0</v>
      </c>
    </row>
    <row r="34" spans="1:24" s="6" customFormat="1" x14ac:dyDescent="0.25">
      <c r="A34" s="6" t="s">
        <v>46</v>
      </c>
      <c r="C34" s="12">
        <f>+C31+C33</f>
        <v>1540</v>
      </c>
      <c r="D34" s="12">
        <f t="shared" ref="D34:X34" si="20">+D31+D33</f>
        <v>1464</v>
      </c>
      <c r="E34" s="12">
        <f t="shared" si="20"/>
        <v>1543</v>
      </c>
      <c r="F34" s="12">
        <f t="shared" si="20"/>
        <v>1567</v>
      </c>
      <c r="G34" s="12">
        <f t="shared" si="20"/>
        <v>1570</v>
      </c>
      <c r="H34" s="31">
        <f t="shared" si="20"/>
        <v>1574</v>
      </c>
      <c r="I34" s="12">
        <f t="shared" si="20"/>
        <v>1670.4333397968749</v>
      </c>
      <c r="J34" s="12">
        <f t="shared" si="20"/>
        <v>1805.3687404251359</v>
      </c>
      <c r="K34" s="12">
        <f t="shared" si="20"/>
        <v>1870.9183957417467</v>
      </c>
      <c r="L34" s="12">
        <f t="shared" si="20"/>
        <v>1934.9913608040322</v>
      </c>
      <c r="M34" s="12">
        <f t="shared" si="20"/>
        <v>1997.1980551984955</v>
      </c>
      <c r="N34" s="12">
        <f t="shared" si="20"/>
        <v>2057.1101660368631</v>
      </c>
      <c r="O34" s="12">
        <f t="shared" si="20"/>
        <v>2114.2575963692061</v>
      </c>
      <c r="P34" s="12">
        <f t="shared" si="20"/>
        <v>2168.1251986372595</v>
      </c>
      <c r="Q34" s="12">
        <f t="shared" si="20"/>
        <v>2218.149279014232</v>
      </c>
      <c r="R34" s="12">
        <f t="shared" si="20"/>
        <v>2263.8587604899453</v>
      </c>
      <c r="S34" s="12">
        <f t="shared" si="20"/>
        <v>2304.899076716084</v>
      </c>
      <c r="T34" s="12">
        <f t="shared" si="20"/>
        <v>2341.2857393926247</v>
      </c>
      <c r="U34" s="12">
        <f t="shared" si="20"/>
        <v>2372.8859768782736</v>
      </c>
      <c r="V34" s="12">
        <f t="shared" si="20"/>
        <v>2399.0180143870334</v>
      </c>
      <c r="W34" s="12">
        <f t="shared" si="20"/>
        <v>2419.3275088595519</v>
      </c>
      <c r="X34" s="12">
        <f t="shared" si="20"/>
        <v>2463.6386510404677</v>
      </c>
    </row>
    <row r="35" spans="1:24" x14ac:dyDescent="0.25">
      <c r="F35" s="10"/>
      <c r="G35" s="10"/>
      <c r="H35" s="21"/>
    </row>
    <row r="36" spans="1:24" x14ac:dyDescent="0.25">
      <c r="A36" s="42" t="s">
        <v>47</v>
      </c>
      <c r="C36" s="8">
        <v>21</v>
      </c>
      <c r="D36" s="8">
        <v>0</v>
      </c>
      <c r="E36" s="8">
        <v>0</v>
      </c>
      <c r="F36" s="2">
        <v>0</v>
      </c>
      <c r="G36">
        <v>0</v>
      </c>
      <c r="H36" s="21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</row>
    <row r="37" spans="1:24" x14ac:dyDescent="0.25">
      <c r="A37" t="s">
        <v>42</v>
      </c>
      <c r="C37" s="8">
        <f>10+15+2+13-11</f>
        <v>29</v>
      </c>
      <c r="D37" s="10">
        <f>+D46-D19+D34-D36-(D42-C42)</f>
        <v>26</v>
      </c>
      <c r="E37" s="10">
        <f>+E46-E19+E34-E36-(E42-D42)</f>
        <v>26</v>
      </c>
      <c r="F37" s="10">
        <f>+F46-F19+F34-F36-(F42-E42)</f>
        <v>47</v>
      </c>
      <c r="G37" s="10">
        <f>+G46-G19+G34-G36-(G42-F42)</f>
        <v>36</v>
      </c>
      <c r="H37" s="21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</row>
    <row r="38" spans="1:24" x14ac:dyDescent="0.25">
      <c r="H38" s="21"/>
    </row>
    <row r="39" spans="1:24" x14ac:dyDescent="0.25">
      <c r="A39" s="6" t="s">
        <v>20</v>
      </c>
      <c r="C39" s="11">
        <f t="shared" ref="C39:X39" si="21">+C19-C34+C36+C37</f>
        <v>-763</v>
      </c>
      <c r="D39" s="11">
        <f t="shared" si="21"/>
        <v>-583</v>
      </c>
      <c r="E39" s="11">
        <f t="shared" si="21"/>
        <v>-523</v>
      </c>
      <c r="F39" s="11">
        <f t="shared" si="21"/>
        <v>-466</v>
      </c>
      <c r="G39" s="11">
        <f t="shared" si="21"/>
        <v>-409</v>
      </c>
      <c r="H39" s="23">
        <f t="shared" si="21"/>
        <v>-343</v>
      </c>
      <c r="I39" s="11">
        <f t="shared" si="21"/>
        <v>-318.06672729687489</v>
      </c>
      <c r="J39" s="11">
        <f t="shared" si="21"/>
        <v>-317.36000980013614</v>
      </c>
      <c r="K39" s="11">
        <f t="shared" si="21"/>
        <v>-238.52384721049702</v>
      </c>
      <c r="L39" s="11">
        <f t="shared" si="21"/>
        <v>-148.91991574497001</v>
      </c>
      <c r="M39" s="11">
        <f t="shared" si="21"/>
        <v>-47.577953519655011</v>
      </c>
      <c r="N39" s="11">
        <f t="shared" si="21"/>
        <v>66.546313109965922</v>
      </c>
      <c r="O39" s="11">
        <f t="shared" si="21"/>
        <v>194.57631272005437</v>
      </c>
      <c r="P39" s="11">
        <f t="shared" si="21"/>
        <v>337.72010844701481</v>
      </c>
      <c r="Q39" s="11">
        <f t="shared" si="21"/>
        <v>497.27623516700669</v>
      </c>
      <c r="R39" s="11">
        <f t="shared" si="21"/>
        <v>667.67605356670038</v>
      </c>
      <c r="S39" s="11">
        <f t="shared" si="21"/>
        <v>849.07755333931937</v>
      </c>
      <c r="T39" s="11">
        <f t="shared" si="21"/>
        <v>1023.7340613175188</v>
      </c>
      <c r="U39" s="11">
        <f t="shared" si="21"/>
        <v>1216.7238904213873</v>
      </c>
      <c r="V39" s="11">
        <f t="shared" si="21"/>
        <v>1429.5673603193186</v>
      </c>
      <c r="W39" s="11">
        <f t="shared" si="21"/>
        <v>1645.2316299227809</v>
      </c>
      <c r="X39" s="11">
        <f t="shared" si="21"/>
        <v>1805.5929988317898</v>
      </c>
    </row>
    <row r="40" spans="1:24" x14ac:dyDescent="0.25">
      <c r="A40" t="s">
        <v>38</v>
      </c>
      <c r="C40" s="4">
        <f t="shared" ref="C40:X40" si="22">+C39+C33</f>
        <v>-585</v>
      </c>
      <c r="D40" s="4">
        <f t="shared" si="22"/>
        <v>-376</v>
      </c>
      <c r="E40" s="43">
        <f t="shared" si="22"/>
        <v>-294</v>
      </c>
      <c r="F40" s="43">
        <f t="shared" si="22"/>
        <v>-214</v>
      </c>
      <c r="G40" s="43">
        <f t="shared" si="22"/>
        <v>-202</v>
      </c>
      <c r="H40" s="24">
        <f t="shared" si="22"/>
        <v>-133</v>
      </c>
      <c r="I40" s="4">
        <f t="shared" si="22"/>
        <v>-86.783987499999881</v>
      </c>
      <c r="J40" s="4">
        <f t="shared" si="22"/>
        <v>-3.1722632950001639</v>
      </c>
      <c r="K40" s="4">
        <f t="shared" si="22"/>
        <v>87.230638057406054</v>
      </c>
      <c r="L40" s="4">
        <f t="shared" si="22"/>
        <v>184.89643484758784</v>
      </c>
      <c r="M40" s="4">
        <f t="shared" si="22"/>
        <v>290.32709202700153</v>
      </c>
      <c r="N40" s="4">
        <f t="shared" si="22"/>
        <v>404.05666818779105</v>
      </c>
      <c r="O40" s="4">
        <f t="shared" si="22"/>
        <v>526.65327166677753</v>
      </c>
      <c r="P40" s="4">
        <f t="shared" si="22"/>
        <v>658.72113206957613</v>
      </c>
      <c r="Q40" s="4">
        <f t="shared" si="22"/>
        <v>800.90279386736688</v>
      </c>
      <c r="R40" s="4">
        <f t="shared" si="22"/>
        <v>947.06247896415596</v>
      </c>
      <c r="S40" s="4">
        <f t="shared" si="22"/>
        <v>1096.9036221671272</v>
      </c>
      <c r="T40" s="4">
        <f t="shared" si="22"/>
        <v>1232.5909778207656</v>
      </c>
      <c r="U40" s="4">
        <f t="shared" si="22"/>
        <v>1378.9617308174597</v>
      </c>
      <c r="V40" s="4">
        <f t="shared" si="22"/>
        <v>1536.7416128786813</v>
      </c>
      <c r="W40" s="4">
        <f t="shared" si="22"/>
        <v>1688.4259769324303</v>
      </c>
      <c r="X40" s="4">
        <f t="shared" si="22"/>
        <v>1805.5929988317898</v>
      </c>
    </row>
    <row r="41" spans="1:24" x14ac:dyDescent="0.25">
      <c r="D41" s="59"/>
      <c r="E41" s="59"/>
      <c r="F41" s="59"/>
      <c r="G41" s="59"/>
      <c r="H41" s="21"/>
    </row>
    <row r="42" spans="1:24" x14ac:dyDescent="0.25">
      <c r="A42" s="21" t="s">
        <v>26</v>
      </c>
      <c r="B42" s="21"/>
      <c r="C42" s="22">
        <v>4735</v>
      </c>
      <c r="D42" s="22">
        <v>5318</v>
      </c>
      <c r="E42" s="22">
        <f>5606+229</f>
        <v>5835</v>
      </c>
      <c r="F42" s="22">
        <v>6332</v>
      </c>
      <c r="G42" s="22">
        <v>6730</v>
      </c>
      <c r="H42" s="23">
        <f t="shared" ref="H42:X42" si="23">MAX(0,+G42-H39)</f>
        <v>7073</v>
      </c>
      <c r="I42" s="23">
        <f t="shared" si="23"/>
        <v>7391.0667272968749</v>
      </c>
      <c r="J42" s="23">
        <f t="shared" si="23"/>
        <v>7708.426737097011</v>
      </c>
      <c r="K42" s="23">
        <f t="shared" si="23"/>
        <v>7946.9505843075076</v>
      </c>
      <c r="L42" s="23">
        <f t="shared" si="23"/>
        <v>8095.8705000524778</v>
      </c>
      <c r="M42" s="23">
        <f t="shared" si="23"/>
        <v>8143.4484535721331</v>
      </c>
      <c r="N42" s="23">
        <f t="shared" si="23"/>
        <v>8076.9021404621672</v>
      </c>
      <c r="O42" s="23">
        <f t="shared" si="23"/>
        <v>7882.3258277421128</v>
      </c>
      <c r="P42" s="23">
        <f t="shared" si="23"/>
        <v>7544.6057192950975</v>
      </c>
      <c r="Q42" s="23">
        <f t="shared" si="23"/>
        <v>7047.3294841280913</v>
      </c>
      <c r="R42" s="23">
        <f t="shared" si="23"/>
        <v>6379.6534305613914</v>
      </c>
      <c r="S42" s="23">
        <f t="shared" si="23"/>
        <v>5530.5758772220724</v>
      </c>
      <c r="T42" s="23">
        <f t="shared" si="23"/>
        <v>4506.8418159045541</v>
      </c>
      <c r="U42" s="23">
        <f t="shared" si="23"/>
        <v>3290.1179254831668</v>
      </c>
      <c r="V42" s="23">
        <f t="shared" si="23"/>
        <v>1860.5505651638482</v>
      </c>
      <c r="W42" s="23">
        <f t="shared" si="23"/>
        <v>215.31893524106727</v>
      </c>
      <c r="X42" s="23">
        <f t="shared" si="23"/>
        <v>0</v>
      </c>
    </row>
    <row r="43" spans="1:24" x14ac:dyDescent="0.25">
      <c r="A43" s="21" t="s">
        <v>27</v>
      </c>
      <c r="B43" s="21"/>
      <c r="C43" s="22">
        <v>4731</v>
      </c>
      <c r="D43" s="22">
        <v>4752</v>
      </c>
      <c r="E43" s="22">
        <v>4776</v>
      </c>
      <c r="F43" s="22">
        <v>5144</v>
      </c>
      <c r="G43" s="22">
        <v>5444</v>
      </c>
      <c r="H43" s="24">
        <f t="shared" ref="H43:X43" si="24">IF(H42&gt;0,G43+H44,MAX(0,G43+H44-(H39-(G42-H42))))</f>
        <v>6054</v>
      </c>
      <c r="I43" s="24">
        <f t="shared" si="24"/>
        <v>6654</v>
      </c>
      <c r="J43" s="24">
        <f t="shared" si="24"/>
        <v>7254</v>
      </c>
      <c r="K43" s="24">
        <f t="shared" si="24"/>
        <v>7500</v>
      </c>
      <c r="L43" s="24">
        <f t="shared" si="24"/>
        <v>7500</v>
      </c>
      <c r="M43" s="24">
        <f t="shared" si="24"/>
        <v>7500</v>
      </c>
      <c r="N43" s="24">
        <f t="shared" si="24"/>
        <v>7500</v>
      </c>
      <c r="O43" s="24">
        <f t="shared" si="24"/>
        <v>7500</v>
      </c>
      <c r="P43" s="24">
        <f t="shared" si="24"/>
        <v>7500</v>
      </c>
      <c r="Q43" s="24">
        <f t="shared" si="24"/>
        <v>7500</v>
      </c>
      <c r="R43" s="24">
        <f t="shared" si="24"/>
        <v>7500</v>
      </c>
      <c r="S43" s="24">
        <f t="shared" si="24"/>
        <v>7500</v>
      </c>
      <c r="T43" s="24">
        <f t="shared" si="24"/>
        <v>7500</v>
      </c>
      <c r="U43" s="24">
        <f t="shared" si="24"/>
        <v>7500</v>
      </c>
      <c r="V43" s="24">
        <f t="shared" si="24"/>
        <v>7500</v>
      </c>
      <c r="W43" s="24">
        <f t="shared" si="24"/>
        <v>7500</v>
      </c>
      <c r="X43" s="24">
        <f t="shared" si="24"/>
        <v>5909.725936409277</v>
      </c>
    </row>
    <row r="44" spans="1:24" x14ac:dyDescent="0.25">
      <c r="A44" t="s">
        <v>31</v>
      </c>
      <c r="C44" s="54"/>
      <c r="D44" s="54">
        <f>+D43-C43</f>
        <v>21</v>
      </c>
      <c r="E44" s="54">
        <f>+E43-D43</f>
        <v>24</v>
      </c>
      <c r="F44" s="54">
        <f>+F43-E43</f>
        <v>368</v>
      </c>
      <c r="G44" s="54">
        <f>+G43-F43</f>
        <v>300</v>
      </c>
      <c r="H44" s="21">
        <f>IF(SUM($D44:G44)&lt;(7500-$C43),IF((10000*H6/1000+SUM($D44:G44))&lt;(7500-$C43),10000*H6/1000,7500-$C43-SUM($D44:G44)),0)</f>
        <v>610</v>
      </c>
      <c r="I44">
        <f>IF(SUM($D44:H44)&lt;(7500-$C43),IF((10000*I6/1000+SUM($D44:H44))&lt;(7500-$C43),10000*I6/1000,7500-$C43-SUM($D44:H44)),0)</f>
        <v>600</v>
      </c>
      <c r="J44">
        <f>IF(SUM($D44:I44)&lt;(7500-$C43),IF((10000*J6/1000+SUM($D44:I44))&lt;(7500-$C43),10000*J6/1000,7500-$C43-SUM($D44:I44)),0)</f>
        <v>600</v>
      </c>
      <c r="K44">
        <f>IF(SUM($D44:J44)&lt;(7500-$C43),IF((10000*K6/1000+SUM($D44:J44))&lt;(7500-$C43),10000*K6/1000,7500-$C43-SUM($D44:J44)),0)</f>
        <v>246</v>
      </c>
      <c r="L44">
        <f>IF(SUM($D44:K44)&lt;(7500-$C43),IF((10000*L6/1000+SUM($D44:K44))&lt;(7500-$C43),10000*L6/1000,7500-$C43-SUM($D44:K44)),0)</f>
        <v>0</v>
      </c>
      <c r="M44">
        <f>IF(SUM($D44:L44)&lt;(7500-$C43),IF((10000*M6/1000+SUM($D44:L44))&lt;(7500-$C43),10000*M6/1000,7500-$C43-SUM($D44:L44)),0)</f>
        <v>0</v>
      </c>
      <c r="N44">
        <f>IF(SUM($D44:M44)&lt;(7500-$C43),IF((10000*N6/1000+SUM($D44:M44))&lt;(7500-$C43),10000*N6/1000,7500-$C43-SUM($D44:M44)),0)</f>
        <v>0</v>
      </c>
      <c r="O44">
        <f>IF(SUM($D44:N44)&lt;(7500-$C43),IF((10000*O6/1000+SUM($D44:N44))&lt;(7500-$C43),10000*O6/1000,7500-$C43-SUM($D44:N44)),0)</f>
        <v>0</v>
      </c>
      <c r="P44">
        <f>IF(SUM($D44:O44)&lt;(7500-$C43),IF((10000*P6/1000+SUM($D44:O44))&lt;(7500-$C43),10000*P6/1000,7500-$C43-SUM($D44:O44)),0)</f>
        <v>0</v>
      </c>
      <c r="Q44">
        <f>IF(SUM($D44:P44)&lt;(7500-$C43),IF((10000*Q6/1000+SUM($D44:P44))&lt;(7500-$C43),10000*Q6/1000,7500-$C43-SUM($D44:P44)),0)</f>
        <v>0</v>
      </c>
      <c r="R44">
        <f>IF(SUM($D44:Q44)&lt;(7500-$C43),IF((10000*R6/1000+SUM($D44:Q44))&lt;(7500-$C43),10000*R6/1000,7500-$C43-SUM($D44:Q44)),0)</f>
        <v>0</v>
      </c>
      <c r="S44">
        <f>IF(SUM($D44:R44)&lt;(7500-$C43),IF((10000*S6/1000+SUM($D44:R44))&lt;(7500-$C43),10000*S6/1000,7500-$C43-SUM($D44:R44)),0)</f>
        <v>0</v>
      </c>
      <c r="T44">
        <f>IF(SUM($D44:S44)&lt;(7500-$C43),IF((10000*T6/1000+SUM($D44:S44))&lt;(7500-$C43),10000*T6/1000,7500-$C43-SUM($D44:S44)),0)</f>
        <v>0</v>
      </c>
      <c r="U44">
        <f>IF(SUM($D44:T44)&lt;(7500-$C43),IF((10000*U6/1000+SUM($D44:T44))&lt;(7500-$C43),10000*U6/1000,7500-$C43-SUM($D44:T44)),0)</f>
        <v>0</v>
      </c>
      <c r="V44">
        <f>IF(SUM($D44:U44)&lt;(7500-$C43),IF((10000*V6/1000+SUM($D44:U44))&lt;(7500-$C43),10000*V6/1000,7500-$C43-SUM($D44:U44)),0)</f>
        <v>0</v>
      </c>
      <c r="W44">
        <f>IF(SUM($D44:V44)&lt;(7500-$C43),IF((10000*W6/1000+SUM($D44:V44))&lt;(7500-$C43),10000*W6/1000,7500-$C43-SUM($D44:V44)),0)</f>
        <v>0</v>
      </c>
      <c r="X44">
        <f>IF(SUM($D44:W44)&lt;(7500-$C43),IF((10000*X6/1000+SUM($D44:W44))&lt;(7500-$C43),10000*X6/1000,7500-$C43-SUM($D44:W44)),0)</f>
        <v>0</v>
      </c>
    </row>
    <row r="45" spans="1:24" x14ac:dyDescent="0.25">
      <c r="A45" t="s">
        <v>55</v>
      </c>
      <c r="C45">
        <v>8</v>
      </c>
      <c r="D45" s="11">
        <v>8</v>
      </c>
      <c r="E45" s="11">
        <v>2</v>
      </c>
      <c r="F45" s="11">
        <v>33</v>
      </c>
      <c r="G45" s="11">
        <v>22</v>
      </c>
      <c r="H45" s="21">
        <v>22</v>
      </c>
      <c r="I45" s="11">
        <f>+H45</f>
        <v>22</v>
      </c>
      <c r="J45" s="11">
        <f t="shared" ref="J45:X45" si="25">+I45</f>
        <v>22</v>
      </c>
      <c r="K45" s="11">
        <f t="shared" si="25"/>
        <v>22</v>
      </c>
      <c r="L45" s="11">
        <f t="shared" si="25"/>
        <v>22</v>
      </c>
      <c r="M45" s="11">
        <f t="shared" si="25"/>
        <v>22</v>
      </c>
      <c r="N45" s="11">
        <f t="shared" si="25"/>
        <v>22</v>
      </c>
      <c r="O45" s="11">
        <f t="shared" si="25"/>
        <v>22</v>
      </c>
      <c r="P45" s="11">
        <f t="shared" si="25"/>
        <v>22</v>
      </c>
      <c r="Q45" s="11">
        <f t="shared" si="25"/>
        <v>22</v>
      </c>
      <c r="R45" s="11">
        <f t="shared" si="25"/>
        <v>22</v>
      </c>
      <c r="S45" s="11">
        <f t="shared" si="25"/>
        <v>22</v>
      </c>
      <c r="T45" s="11">
        <f t="shared" si="25"/>
        <v>22</v>
      </c>
      <c r="U45" s="11">
        <f t="shared" si="25"/>
        <v>22</v>
      </c>
      <c r="V45" s="11">
        <f t="shared" si="25"/>
        <v>22</v>
      </c>
      <c r="W45" s="11">
        <f t="shared" si="25"/>
        <v>22</v>
      </c>
      <c r="X45" s="11">
        <f t="shared" si="25"/>
        <v>22</v>
      </c>
    </row>
    <row r="46" spans="1:24" x14ac:dyDescent="0.25">
      <c r="A46" t="s">
        <v>56</v>
      </c>
      <c r="C46">
        <f t="shared" ref="C46:F46" si="26">+C45-B45</f>
        <v>8</v>
      </c>
      <c r="D46" s="11">
        <f t="shared" si="26"/>
        <v>0</v>
      </c>
      <c r="E46" s="11">
        <f t="shared" si="26"/>
        <v>-6</v>
      </c>
      <c r="F46" s="11">
        <f t="shared" si="26"/>
        <v>31</v>
      </c>
      <c r="G46" s="11">
        <f>+G45-F45</f>
        <v>-11</v>
      </c>
      <c r="H46" s="21">
        <f t="shared" ref="H46:X46" si="27">+H45-G45</f>
        <v>0</v>
      </c>
      <c r="I46" s="11">
        <f t="shared" si="27"/>
        <v>0</v>
      </c>
      <c r="J46" s="11">
        <f t="shared" si="27"/>
        <v>0</v>
      </c>
      <c r="K46" s="11">
        <f t="shared" si="27"/>
        <v>0</v>
      </c>
      <c r="L46" s="11">
        <f t="shared" si="27"/>
        <v>0</v>
      </c>
      <c r="M46" s="11">
        <f t="shared" si="27"/>
        <v>0</v>
      </c>
      <c r="N46" s="11">
        <f t="shared" si="27"/>
        <v>0</v>
      </c>
      <c r="O46" s="11">
        <f t="shared" si="27"/>
        <v>0</v>
      </c>
      <c r="P46" s="11">
        <f t="shared" si="27"/>
        <v>0</v>
      </c>
      <c r="Q46" s="11">
        <f t="shared" si="27"/>
        <v>0</v>
      </c>
      <c r="R46" s="11">
        <f t="shared" si="27"/>
        <v>0</v>
      </c>
      <c r="S46" s="11">
        <f t="shared" si="27"/>
        <v>0</v>
      </c>
      <c r="T46" s="11">
        <f t="shared" si="27"/>
        <v>0</v>
      </c>
      <c r="U46" s="11">
        <f t="shared" si="27"/>
        <v>0</v>
      </c>
      <c r="V46" s="11">
        <f t="shared" si="27"/>
        <v>0</v>
      </c>
      <c r="W46" s="11">
        <f t="shared" si="27"/>
        <v>0</v>
      </c>
      <c r="X46" s="11">
        <f t="shared" si="27"/>
        <v>0</v>
      </c>
    </row>
    <row r="47" spans="1:24" x14ac:dyDescent="0.25">
      <c r="H47" s="59"/>
    </row>
    <row r="69" spans="1:11" x14ac:dyDescent="0.25">
      <c r="C69" s="4"/>
    </row>
    <row r="79" spans="1:11" x14ac:dyDescent="0.25">
      <c r="A79" t="s">
        <v>34</v>
      </c>
      <c r="C79">
        <v>3638</v>
      </c>
      <c r="D79">
        <v>3445</v>
      </c>
      <c r="E79">
        <v>3277</v>
      </c>
      <c r="F79">
        <v>2814</v>
      </c>
      <c r="G79">
        <v>2312</v>
      </c>
      <c r="H79">
        <v>1676</v>
      </c>
      <c r="I79">
        <v>1159</v>
      </c>
      <c r="J79">
        <v>412</v>
      </c>
      <c r="K79">
        <v>0</v>
      </c>
    </row>
  </sheetData>
  <pageMargins left="0.7" right="0.7" top="0.75" bottom="0.75" header="0.3" footer="0.3"/>
  <pageSetup paperSize="17" scale="67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Z84"/>
  <sheetViews>
    <sheetView workbookViewId="0">
      <selection activeCell="H49" sqref="H49"/>
    </sheetView>
  </sheetViews>
  <sheetFormatPr defaultRowHeight="15" x14ac:dyDescent="0.25"/>
  <cols>
    <col min="1" max="1" width="24.5703125" customWidth="1"/>
    <col min="2" max="2" width="11.140625" customWidth="1"/>
    <col min="3" max="3" width="11.5703125" bestFit="1" customWidth="1"/>
    <col min="4" max="4" width="9.5703125" bestFit="1" customWidth="1"/>
    <col min="5" max="5" width="10.5703125" customWidth="1"/>
    <col min="6" max="6" width="10" bestFit="1" customWidth="1"/>
    <col min="7" max="7" width="9.42578125" bestFit="1" customWidth="1"/>
    <col min="8" max="24" width="8.5703125" customWidth="1"/>
  </cols>
  <sheetData>
    <row r="1" spans="1:25" ht="26.1" x14ac:dyDescent="0.6">
      <c r="A1" s="19" t="s">
        <v>22</v>
      </c>
      <c r="D1" s="50"/>
      <c r="I1" s="58"/>
    </row>
    <row r="2" spans="1:25" ht="18.600000000000001" x14ac:dyDescent="0.45">
      <c r="A2" s="20" t="s">
        <v>58</v>
      </c>
      <c r="G2" s="10"/>
      <c r="H2" s="79"/>
      <c r="I2" s="79" t="s">
        <v>57</v>
      </c>
    </row>
    <row r="3" spans="1:25" ht="14.45" x14ac:dyDescent="0.35">
      <c r="A3" t="s">
        <v>28</v>
      </c>
      <c r="C3" s="14">
        <v>2009</v>
      </c>
      <c r="D3" s="14">
        <v>2010</v>
      </c>
      <c r="E3" s="14">
        <v>2011</v>
      </c>
      <c r="F3" s="14">
        <v>2012</v>
      </c>
      <c r="G3" s="14">
        <f t="shared" ref="G3:V3" si="0">+F3+1</f>
        <v>2013</v>
      </c>
      <c r="H3" s="64">
        <f t="shared" si="0"/>
        <v>2014</v>
      </c>
      <c r="I3" s="27">
        <f t="shared" si="0"/>
        <v>2015</v>
      </c>
      <c r="J3" s="14">
        <f t="shared" si="0"/>
        <v>2016</v>
      </c>
      <c r="K3" s="14">
        <f t="shared" si="0"/>
        <v>2017</v>
      </c>
      <c r="L3" s="14">
        <f t="shared" si="0"/>
        <v>2018</v>
      </c>
      <c r="M3" s="14">
        <f t="shared" si="0"/>
        <v>2019</v>
      </c>
      <c r="N3" s="14">
        <f t="shared" si="0"/>
        <v>2020</v>
      </c>
      <c r="O3" s="14">
        <f t="shared" si="0"/>
        <v>2021</v>
      </c>
      <c r="P3" s="14">
        <f t="shared" si="0"/>
        <v>2022</v>
      </c>
      <c r="Q3" s="14">
        <f t="shared" si="0"/>
        <v>2023</v>
      </c>
      <c r="R3" s="14">
        <f t="shared" si="0"/>
        <v>2024</v>
      </c>
      <c r="S3" s="14">
        <f t="shared" si="0"/>
        <v>2025</v>
      </c>
      <c r="T3" s="14">
        <f t="shared" si="0"/>
        <v>2026</v>
      </c>
      <c r="U3" s="14">
        <f t="shared" si="0"/>
        <v>2027</v>
      </c>
      <c r="V3" s="14">
        <f t="shared" si="0"/>
        <v>2028</v>
      </c>
      <c r="W3" s="14">
        <f>+V3+1</f>
        <v>2029</v>
      </c>
      <c r="X3" s="14">
        <f>+W3+1</f>
        <v>2030</v>
      </c>
    </row>
    <row r="4" spans="1:25" ht="14.45" x14ac:dyDescent="0.35">
      <c r="H4" s="65"/>
      <c r="I4" s="21"/>
    </row>
    <row r="5" spans="1:25" ht="14.45" x14ac:dyDescent="0.35">
      <c r="A5" s="1" t="s">
        <v>50</v>
      </c>
      <c r="C5">
        <v>335</v>
      </c>
      <c r="D5">
        <f>+C5+D6</f>
        <v>375</v>
      </c>
      <c r="E5">
        <f t="shared" ref="E5:X5" si="1">+D5+E6</f>
        <v>418</v>
      </c>
      <c r="F5">
        <f t="shared" si="1"/>
        <v>476</v>
      </c>
      <c r="G5">
        <f t="shared" si="1"/>
        <v>510</v>
      </c>
      <c r="H5" s="65">
        <f t="shared" si="1"/>
        <v>550</v>
      </c>
      <c r="I5" s="21">
        <f t="shared" si="1"/>
        <v>616</v>
      </c>
      <c r="J5">
        <f t="shared" si="1"/>
        <v>676</v>
      </c>
      <c r="K5">
        <f t="shared" si="1"/>
        <v>736</v>
      </c>
      <c r="L5">
        <f t="shared" si="1"/>
        <v>796</v>
      </c>
      <c r="M5">
        <f t="shared" si="1"/>
        <v>856</v>
      </c>
      <c r="N5">
        <f t="shared" si="1"/>
        <v>916</v>
      </c>
      <c r="O5">
        <f t="shared" si="1"/>
        <v>976</v>
      </c>
      <c r="P5">
        <f t="shared" si="1"/>
        <v>1036</v>
      </c>
      <c r="Q5">
        <f t="shared" si="1"/>
        <v>1096</v>
      </c>
      <c r="R5">
        <f t="shared" si="1"/>
        <v>1146</v>
      </c>
      <c r="S5">
        <f t="shared" si="1"/>
        <v>1196</v>
      </c>
      <c r="T5">
        <f t="shared" si="1"/>
        <v>1246</v>
      </c>
      <c r="U5">
        <f t="shared" si="1"/>
        <v>1296</v>
      </c>
      <c r="V5">
        <f t="shared" si="1"/>
        <v>1346</v>
      </c>
      <c r="W5">
        <f t="shared" si="1"/>
        <v>1376</v>
      </c>
      <c r="X5">
        <f t="shared" si="1"/>
        <v>1401</v>
      </c>
    </row>
    <row r="6" spans="1:25" ht="14.45" x14ac:dyDescent="0.35">
      <c r="A6" s="1" t="s">
        <v>51</v>
      </c>
      <c r="D6" s="3">
        <v>40</v>
      </c>
      <c r="E6" s="3">
        <v>43</v>
      </c>
      <c r="F6" s="3">
        <v>58</v>
      </c>
      <c r="G6" s="3">
        <v>34</v>
      </c>
      <c r="H6" s="66">
        <v>40</v>
      </c>
      <c r="I6" s="28">
        <v>66</v>
      </c>
      <c r="J6" s="3">
        <v>60</v>
      </c>
      <c r="K6" s="3">
        <v>60</v>
      </c>
      <c r="L6" s="3">
        <v>60</v>
      </c>
      <c r="M6" s="3">
        <v>60</v>
      </c>
      <c r="N6" s="3">
        <v>60</v>
      </c>
      <c r="O6" s="3">
        <v>60</v>
      </c>
      <c r="P6" s="3">
        <v>60</v>
      </c>
      <c r="Q6" s="3">
        <v>60</v>
      </c>
      <c r="R6" s="3">
        <v>50</v>
      </c>
      <c r="S6" s="3">
        <v>50</v>
      </c>
      <c r="T6" s="3">
        <v>50</v>
      </c>
      <c r="U6" s="3">
        <v>50</v>
      </c>
      <c r="V6" s="3">
        <v>50</v>
      </c>
      <c r="W6" s="3">
        <v>30</v>
      </c>
      <c r="X6" s="3">
        <v>25</v>
      </c>
      <c r="Y6" s="2"/>
    </row>
    <row r="7" spans="1:25" ht="14.45" x14ac:dyDescent="0.35">
      <c r="A7" t="s">
        <v>32</v>
      </c>
      <c r="D7" s="33">
        <f>+D8/C8-1</f>
        <v>9.8654708520179435E-2</v>
      </c>
      <c r="E7" s="33">
        <v>0</v>
      </c>
      <c r="F7" s="33">
        <v>0.05</v>
      </c>
      <c r="G7" s="33">
        <v>0.05</v>
      </c>
      <c r="H7" s="67">
        <f t="shared" ref="H7:X7" si="2">+G7</f>
        <v>0.05</v>
      </c>
      <c r="I7" s="53">
        <f t="shared" si="2"/>
        <v>0.05</v>
      </c>
      <c r="J7" s="26">
        <f t="shared" si="2"/>
        <v>0.05</v>
      </c>
      <c r="K7" s="26">
        <f t="shared" si="2"/>
        <v>0.05</v>
      </c>
      <c r="L7" s="26">
        <f t="shared" si="2"/>
        <v>0.05</v>
      </c>
      <c r="M7" s="26">
        <f t="shared" si="2"/>
        <v>0.05</v>
      </c>
      <c r="N7" s="26">
        <f t="shared" si="2"/>
        <v>0.05</v>
      </c>
      <c r="O7" s="26">
        <f t="shared" si="2"/>
        <v>0.05</v>
      </c>
      <c r="P7" s="26">
        <f t="shared" si="2"/>
        <v>0.05</v>
      </c>
      <c r="Q7" s="26">
        <f t="shared" si="2"/>
        <v>0.05</v>
      </c>
      <c r="R7" s="26">
        <f t="shared" si="2"/>
        <v>0.05</v>
      </c>
      <c r="S7" s="26">
        <f t="shared" si="2"/>
        <v>0.05</v>
      </c>
      <c r="T7" s="26">
        <f t="shared" si="2"/>
        <v>0.05</v>
      </c>
      <c r="U7" s="26">
        <f t="shared" si="2"/>
        <v>0.05</v>
      </c>
      <c r="V7" s="26">
        <f t="shared" si="2"/>
        <v>0.05</v>
      </c>
      <c r="W7" s="26">
        <f t="shared" si="2"/>
        <v>0.05</v>
      </c>
      <c r="X7" s="26">
        <f t="shared" si="2"/>
        <v>0.05</v>
      </c>
      <c r="Y7" s="2"/>
    </row>
    <row r="8" spans="1:25" ht="14.45" x14ac:dyDescent="0.35">
      <c r="A8" t="s">
        <v>3</v>
      </c>
      <c r="C8" s="3">
        <f>55.75*12</f>
        <v>669</v>
      </c>
      <c r="D8" s="3">
        <v>735</v>
      </c>
      <c r="E8" s="3">
        <v>735</v>
      </c>
      <c r="F8" s="3">
        <v>772</v>
      </c>
      <c r="G8" s="3">
        <v>810</v>
      </c>
      <c r="H8" s="68">
        <v>850</v>
      </c>
      <c r="I8" s="24">
        <f t="shared" ref="I8:X8" si="3">+H8*(1+I7)</f>
        <v>892.5</v>
      </c>
      <c r="J8" s="4">
        <f t="shared" si="3"/>
        <v>937.125</v>
      </c>
      <c r="K8" s="4">
        <f t="shared" si="3"/>
        <v>983.98125000000005</v>
      </c>
      <c r="L8" s="4">
        <f t="shared" si="3"/>
        <v>1033.1803125000001</v>
      </c>
      <c r="M8" s="4">
        <f t="shared" si="3"/>
        <v>1084.8393281250003</v>
      </c>
      <c r="N8" s="4">
        <f t="shared" si="3"/>
        <v>1139.0812945312503</v>
      </c>
      <c r="O8" s="4">
        <f t="shared" si="3"/>
        <v>1196.0353592578128</v>
      </c>
      <c r="P8" s="4">
        <f t="shared" si="3"/>
        <v>1255.8371272207035</v>
      </c>
      <c r="Q8" s="4">
        <f t="shared" si="3"/>
        <v>1318.6289835817386</v>
      </c>
      <c r="R8" s="4">
        <f t="shared" si="3"/>
        <v>1384.5604327608255</v>
      </c>
      <c r="S8" s="4">
        <f t="shared" si="3"/>
        <v>1453.7884543988669</v>
      </c>
      <c r="T8" s="4">
        <f t="shared" si="3"/>
        <v>1526.4778771188103</v>
      </c>
      <c r="U8" s="4">
        <f t="shared" si="3"/>
        <v>1602.8017709747508</v>
      </c>
      <c r="V8" s="4">
        <f t="shared" si="3"/>
        <v>1682.9418595234883</v>
      </c>
      <c r="W8" s="4">
        <f t="shared" si="3"/>
        <v>1767.0889524996628</v>
      </c>
      <c r="X8" s="4">
        <f t="shared" si="3"/>
        <v>1855.4434001246461</v>
      </c>
    </row>
    <row r="9" spans="1:25" ht="14.45" x14ac:dyDescent="0.35">
      <c r="A9" t="s">
        <v>4</v>
      </c>
      <c r="E9" s="44"/>
      <c r="F9" s="51"/>
      <c r="G9" s="44"/>
      <c r="H9" s="69"/>
      <c r="I9" s="36">
        <v>2.5000000000000001E-2</v>
      </c>
      <c r="J9" s="17">
        <f t="shared" ref="J9:X9" si="4">+I9</f>
        <v>2.5000000000000001E-2</v>
      </c>
      <c r="K9" s="17">
        <f t="shared" si="4"/>
        <v>2.5000000000000001E-2</v>
      </c>
      <c r="L9" s="17">
        <f t="shared" si="4"/>
        <v>2.5000000000000001E-2</v>
      </c>
      <c r="M9" s="17">
        <f t="shared" si="4"/>
        <v>2.5000000000000001E-2</v>
      </c>
      <c r="N9" s="17">
        <f t="shared" si="4"/>
        <v>2.5000000000000001E-2</v>
      </c>
      <c r="O9" s="17">
        <f t="shared" si="4"/>
        <v>2.5000000000000001E-2</v>
      </c>
      <c r="P9" s="17">
        <f t="shared" si="4"/>
        <v>2.5000000000000001E-2</v>
      </c>
      <c r="Q9" s="17">
        <f t="shared" si="4"/>
        <v>2.5000000000000001E-2</v>
      </c>
      <c r="R9" s="17">
        <f t="shared" si="4"/>
        <v>2.5000000000000001E-2</v>
      </c>
      <c r="S9" s="17">
        <f t="shared" si="4"/>
        <v>2.5000000000000001E-2</v>
      </c>
      <c r="T9" s="17">
        <f t="shared" si="4"/>
        <v>2.5000000000000001E-2</v>
      </c>
      <c r="U9" s="17">
        <f t="shared" si="4"/>
        <v>2.5000000000000001E-2</v>
      </c>
      <c r="V9" s="17">
        <f t="shared" si="4"/>
        <v>2.5000000000000001E-2</v>
      </c>
      <c r="W9" s="17">
        <f t="shared" si="4"/>
        <v>2.5000000000000001E-2</v>
      </c>
      <c r="X9" s="17">
        <f t="shared" si="4"/>
        <v>2.5000000000000001E-2</v>
      </c>
    </row>
    <row r="10" spans="1:25" ht="14.45" x14ac:dyDescent="0.35">
      <c r="A10" t="s">
        <v>24</v>
      </c>
      <c r="E10" s="45"/>
      <c r="F10" s="45"/>
      <c r="G10" s="45"/>
      <c r="H10" s="70"/>
      <c r="I10" s="37"/>
      <c r="J10" s="16">
        <v>15</v>
      </c>
      <c r="K10" s="16">
        <v>15</v>
      </c>
      <c r="L10" s="16">
        <v>15</v>
      </c>
      <c r="M10" s="16">
        <v>15</v>
      </c>
      <c r="N10" s="16">
        <v>15</v>
      </c>
      <c r="O10" s="16">
        <v>15</v>
      </c>
      <c r="P10" s="16">
        <v>15</v>
      </c>
      <c r="Q10" s="16">
        <v>15</v>
      </c>
      <c r="R10" s="16">
        <v>15</v>
      </c>
      <c r="S10" s="16">
        <v>15</v>
      </c>
      <c r="T10" s="16">
        <v>0</v>
      </c>
      <c r="U10" s="16">
        <v>0</v>
      </c>
      <c r="V10" s="16">
        <v>0</v>
      </c>
      <c r="W10" s="16">
        <v>0</v>
      </c>
      <c r="X10" s="16">
        <v>0</v>
      </c>
    </row>
    <row r="11" spans="1:25" x14ac:dyDescent="0.25">
      <c r="A11" t="s">
        <v>25</v>
      </c>
      <c r="D11" s="18">
        <v>4.2500000000000003E-2</v>
      </c>
      <c r="E11" s="46">
        <v>4.2500000000000003E-2</v>
      </c>
      <c r="F11" s="46">
        <v>4.2500000000000003E-2</v>
      </c>
      <c r="G11" s="62">
        <v>3.2500000000000001E-2</v>
      </c>
      <c r="H11" s="71">
        <v>3.2500000000000001E-2</v>
      </c>
      <c r="I11" s="60">
        <v>3.2500000000000001E-2</v>
      </c>
      <c r="J11" s="18">
        <v>4.2500000000000003E-2</v>
      </c>
      <c r="K11" s="18">
        <v>4.2500000000000003E-2</v>
      </c>
      <c r="L11" s="18">
        <v>4.2500000000000003E-2</v>
      </c>
      <c r="M11" s="18">
        <v>4.2500000000000003E-2</v>
      </c>
      <c r="N11" s="18">
        <v>4.2500000000000003E-2</v>
      </c>
      <c r="O11" s="18">
        <v>4.2500000000000003E-2</v>
      </c>
      <c r="P11" s="18">
        <v>4.2500000000000003E-2</v>
      </c>
      <c r="Q11" s="18">
        <v>4.2500000000000003E-2</v>
      </c>
      <c r="R11" s="18">
        <v>4.2500000000000003E-2</v>
      </c>
      <c r="S11" s="18">
        <v>4.2500000000000003E-2</v>
      </c>
      <c r="T11" s="18">
        <v>4.2500000000000003E-2</v>
      </c>
      <c r="U11" s="18">
        <v>4.2500000000000003E-2</v>
      </c>
      <c r="V11" s="18">
        <v>4.2500000000000003E-2</v>
      </c>
      <c r="W11" s="18">
        <v>4.2500000000000003E-2</v>
      </c>
      <c r="X11" s="18">
        <v>4.2500000000000003E-2</v>
      </c>
    </row>
    <row r="12" spans="1:25" x14ac:dyDescent="0.25">
      <c r="H12" s="65"/>
      <c r="I12" s="21"/>
    </row>
    <row r="13" spans="1:25" x14ac:dyDescent="0.25">
      <c r="A13" s="7" t="s">
        <v>41</v>
      </c>
      <c r="H13" s="72"/>
      <c r="I13" s="21"/>
    </row>
    <row r="14" spans="1:25" x14ac:dyDescent="0.25">
      <c r="A14" t="s">
        <v>2</v>
      </c>
      <c r="C14" s="3">
        <v>214</v>
      </c>
      <c r="D14" s="3">
        <v>267</v>
      </c>
      <c r="E14" s="3">
        <v>297</v>
      </c>
      <c r="F14" s="34">
        <v>348</v>
      </c>
      <c r="G14" s="34">
        <v>398</v>
      </c>
      <c r="H14" s="68">
        <v>447</v>
      </c>
      <c r="I14" s="24">
        <v>529</v>
      </c>
      <c r="J14" s="4">
        <f t="shared" ref="J14:X14" si="5">+(J5+I5)/2*J8/1000</f>
        <v>605.38274999999999</v>
      </c>
      <c r="K14" s="4">
        <f t="shared" si="5"/>
        <v>694.69076250000012</v>
      </c>
      <c r="L14" s="4">
        <f t="shared" si="5"/>
        <v>791.41611937500011</v>
      </c>
      <c r="M14" s="4">
        <f t="shared" si="5"/>
        <v>896.0772850312502</v>
      </c>
      <c r="N14" s="4">
        <f t="shared" si="5"/>
        <v>1009.2260269546877</v>
      </c>
      <c r="O14" s="4">
        <f t="shared" si="5"/>
        <v>1131.4494498578908</v>
      </c>
      <c r="P14" s="4">
        <f t="shared" si="5"/>
        <v>1263.3721499840278</v>
      </c>
      <c r="Q14" s="4">
        <f t="shared" si="5"/>
        <v>1405.6584964981332</v>
      </c>
      <c r="R14" s="4">
        <f t="shared" si="5"/>
        <v>1552.0922451248853</v>
      </c>
      <c r="S14" s="4">
        <f t="shared" si="5"/>
        <v>1702.3862801010732</v>
      </c>
      <c r="T14" s="4">
        <f t="shared" si="5"/>
        <v>1863.8294879620673</v>
      </c>
      <c r="U14" s="4">
        <f t="shared" si="5"/>
        <v>2037.1610509089082</v>
      </c>
      <c r="V14" s="4">
        <f t="shared" si="5"/>
        <v>2223.1661964305281</v>
      </c>
      <c r="W14" s="4">
        <f t="shared" si="5"/>
        <v>2405.0080643520409</v>
      </c>
      <c r="X14" s="4">
        <f t="shared" si="5"/>
        <v>2576.2831610730709</v>
      </c>
    </row>
    <row r="15" spans="1:25" x14ac:dyDescent="0.25">
      <c r="A15" t="s">
        <v>5</v>
      </c>
      <c r="C15" s="3">
        <v>5</v>
      </c>
      <c r="D15" s="3">
        <v>5</v>
      </c>
      <c r="E15" s="3">
        <v>5</v>
      </c>
      <c r="F15" s="34">
        <v>5</v>
      </c>
      <c r="G15" s="34">
        <v>5</v>
      </c>
      <c r="H15" s="68">
        <v>5</v>
      </c>
      <c r="I15" s="24">
        <f t="shared" ref="I15:X15" si="6">+H15*(1+I$9)</f>
        <v>5.125</v>
      </c>
      <c r="J15" s="4">
        <f t="shared" si="6"/>
        <v>5.2531249999999998</v>
      </c>
      <c r="K15" s="4">
        <f t="shared" si="6"/>
        <v>5.3844531249999994</v>
      </c>
      <c r="L15" s="4">
        <f t="shared" si="6"/>
        <v>5.519064453124999</v>
      </c>
      <c r="M15" s="4">
        <f t="shared" si="6"/>
        <v>5.6570410644531233</v>
      </c>
      <c r="N15" s="4">
        <f t="shared" si="6"/>
        <v>5.7984670910644507</v>
      </c>
      <c r="O15" s="4">
        <f t="shared" si="6"/>
        <v>5.9434287683410618</v>
      </c>
      <c r="P15" s="4">
        <f t="shared" si="6"/>
        <v>6.0920144875495881</v>
      </c>
      <c r="Q15" s="4">
        <f t="shared" si="6"/>
        <v>6.244314849738327</v>
      </c>
      <c r="R15" s="4">
        <f t="shared" si="6"/>
        <v>6.4004227209817843</v>
      </c>
      <c r="S15" s="4">
        <f t="shared" si="6"/>
        <v>6.5604332890063279</v>
      </c>
      <c r="T15" s="4">
        <f t="shared" si="6"/>
        <v>6.7244441212314854</v>
      </c>
      <c r="U15" s="4">
        <f t="shared" si="6"/>
        <v>6.8925552242622716</v>
      </c>
      <c r="V15" s="4">
        <f t="shared" si="6"/>
        <v>7.0648691048688281</v>
      </c>
      <c r="W15" s="4">
        <f t="shared" si="6"/>
        <v>7.2414908324905483</v>
      </c>
      <c r="X15" s="4">
        <f t="shared" si="6"/>
        <v>7.4225281033028114</v>
      </c>
    </row>
    <row r="16" spans="1:25" x14ac:dyDescent="0.25">
      <c r="A16" t="s">
        <v>39</v>
      </c>
      <c r="C16" s="3">
        <v>4</v>
      </c>
      <c r="D16" s="3">
        <v>3</v>
      </c>
      <c r="E16" s="3">
        <v>20</v>
      </c>
      <c r="F16" s="34">
        <v>5</v>
      </c>
      <c r="G16" s="34">
        <v>5</v>
      </c>
      <c r="H16" s="68">
        <v>5</v>
      </c>
      <c r="I16" s="24">
        <v>7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</row>
    <row r="17" spans="1:25" x14ac:dyDescent="0.25">
      <c r="A17" t="s">
        <v>6</v>
      </c>
      <c r="C17" s="34">
        <v>0</v>
      </c>
      <c r="D17" s="34">
        <v>0</v>
      </c>
      <c r="E17" s="34">
        <v>0</v>
      </c>
      <c r="F17" s="34">
        <v>0</v>
      </c>
      <c r="G17" s="34">
        <v>0</v>
      </c>
      <c r="H17" s="73">
        <v>0</v>
      </c>
      <c r="I17" s="24">
        <v>-3</v>
      </c>
      <c r="J17" s="4">
        <f t="shared" ref="J17:X17" si="7">-0.015*J14</f>
        <v>-9.0807412499999991</v>
      </c>
      <c r="K17" s="4">
        <f t="shared" si="7"/>
        <v>-10.420361437500002</v>
      </c>
      <c r="L17" s="4">
        <f t="shared" si="7"/>
        <v>-11.871241790625001</v>
      </c>
      <c r="M17" s="4">
        <f t="shared" si="7"/>
        <v>-13.441159275468753</v>
      </c>
      <c r="N17" s="4">
        <f t="shared" si="7"/>
        <v>-15.138390404320313</v>
      </c>
      <c r="O17" s="4">
        <f t="shared" si="7"/>
        <v>-16.971741747868361</v>
      </c>
      <c r="P17" s="4">
        <f t="shared" si="7"/>
        <v>-18.950582249760416</v>
      </c>
      <c r="Q17" s="4">
        <f t="shared" si="7"/>
        <v>-21.084877447471996</v>
      </c>
      <c r="R17" s="4">
        <f t="shared" si="7"/>
        <v>-23.281383676873279</v>
      </c>
      <c r="S17" s="4">
        <f t="shared" si="7"/>
        <v>-25.535794201516097</v>
      </c>
      <c r="T17" s="4">
        <f t="shared" si="7"/>
        <v>-27.95744231943101</v>
      </c>
      <c r="U17" s="4">
        <f t="shared" si="7"/>
        <v>-30.557415763633621</v>
      </c>
      <c r="V17" s="4">
        <f t="shared" si="7"/>
        <v>-33.347492946457919</v>
      </c>
      <c r="W17" s="4">
        <f t="shared" si="7"/>
        <v>-36.075120965280611</v>
      </c>
      <c r="X17" s="4">
        <f t="shared" si="7"/>
        <v>-38.644247416096064</v>
      </c>
    </row>
    <row r="18" spans="1:25" x14ac:dyDescent="0.25">
      <c r="A18" t="s">
        <v>12</v>
      </c>
      <c r="C18" s="3">
        <f>940-77-359</f>
        <v>504</v>
      </c>
      <c r="D18" s="3">
        <v>580</v>
      </c>
      <c r="E18" s="3">
        <v>672</v>
      </c>
      <c r="F18" s="52">
        <v>696</v>
      </c>
      <c r="G18" s="52">
        <v>717</v>
      </c>
      <c r="H18" s="73">
        <v>669</v>
      </c>
      <c r="I18" s="39">
        <v>704</v>
      </c>
      <c r="J18" s="10">
        <f t="shared" ref="J18:X18" si="8">+I18*(1+J9)+J10</f>
        <v>736.59999999999991</v>
      </c>
      <c r="K18" s="10">
        <f t="shared" si="8"/>
        <v>770.01499999999987</v>
      </c>
      <c r="L18" s="10">
        <f t="shared" si="8"/>
        <v>804.26537499999984</v>
      </c>
      <c r="M18" s="10">
        <f t="shared" si="8"/>
        <v>839.37200937499972</v>
      </c>
      <c r="N18" s="10">
        <f t="shared" si="8"/>
        <v>875.35630960937465</v>
      </c>
      <c r="O18" s="10">
        <f t="shared" si="8"/>
        <v>912.24021734960888</v>
      </c>
      <c r="P18" s="10">
        <f t="shared" si="8"/>
        <v>950.04622278334898</v>
      </c>
      <c r="Q18" s="10">
        <f t="shared" si="8"/>
        <v>988.79737835293258</v>
      </c>
      <c r="R18" s="10">
        <f t="shared" si="8"/>
        <v>1028.5173128117558</v>
      </c>
      <c r="S18" s="10">
        <f t="shared" si="8"/>
        <v>1069.2302456320497</v>
      </c>
      <c r="T18" s="10">
        <f t="shared" si="8"/>
        <v>1095.9610017728508</v>
      </c>
      <c r="U18" s="10">
        <f t="shared" si="8"/>
        <v>1123.360026817172</v>
      </c>
      <c r="V18" s="10">
        <f t="shared" si="8"/>
        <v>1151.4440274876013</v>
      </c>
      <c r="W18" s="10">
        <f t="shared" si="8"/>
        <v>1180.2301281747912</v>
      </c>
      <c r="X18" s="10">
        <f t="shared" si="8"/>
        <v>1209.7358813791609</v>
      </c>
      <c r="Y18" s="10"/>
    </row>
    <row r="19" spans="1:25" x14ac:dyDescent="0.25">
      <c r="A19" s="6" t="s">
        <v>43</v>
      </c>
      <c r="C19" s="13">
        <f>SUM(C14:C18)</f>
        <v>727</v>
      </c>
      <c r="D19" s="35">
        <f t="shared" ref="D19:X19" si="9">SUM(D14:D18)</f>
        <v>855</v>
      </c>
      <c r="E19" s="35">
        <f t="shared" si="9"/>
        <v>994</v>
      </c>
      <c r="F19" s="35">
        <f t="shared" si="9"/>
        <v>1054</v>
      </c>
      <c r="G19" s="35">
        <f t="shared" si="9"/>
        <v>1125</v>
      </c>
      <c r="H19" s="74">
        <f t="shared" si="9"/>
        <v>1126</v>
      </c>
      <c r="I19" s="29">
        <f t="shared" si="9"/>
        <v>1242.125</v>
      </c>
      <c r="J19" s="13">
        <f t="shared" si="9"/>
        <v>1338.15513375</v>
      </c>
      <c r="K19" s="13">
        <f t="shared" si="9"/>
        <v>1459.6698541875001</v>
      </c>
      <c r="L19" s="13">
        <f t="shared" si="9"/>
        <v>1589.3293170375</v>
      </c>
      <c r="M19" s="13">
        <f t="shared" si="9"/>
        <v>1727.6651761952344</v>
      </c>
      <c r="N19" s="13">
        <f t="shared" si="9"/>
        <v>1875.2424132508065</v>
      </c>
      <c r="O19" s="13">
        <f t="shared" si="9"/>
        <v>2032.6613542279724</v>
      </c>
      <c r="P19" s="13">
        <f t="shared" si="9"/>
        <v>2200.5598050051658</v>
      </c>
      <c r="Q19" s="13">
        <f t="shared" si="9"/>
        <v>2379.6153122533324</v>
      </c>
      <c r="R19" s="13">
        <f t="shared" si="9"/>
        <v>2563.7285969807499</v>
      </c>
      <c r="S19" s="13">
        <f t="shared" si="9"/>
        <v>2752.6411648206131</v>
      </c>
      <c r="T19" s="13">
        <f t="shared" si="9"/>
        <v>2938.5574915367188</v>
      </c>
      <c r="U19" s="13">
        <f t="shared" si="9"/>
        <v>3136.8562171867088</v>
      </c>
      <c r="V19" s="13">
        <f t="shared" si="9"/>
        <v>3348.32760007654</v>
      </c>
      <c r="W19" s="13">
        <f t="shared" si="9"/>
        <v>3556.4045623940419</v>
      </c>
      <c r="X19" s="13">
        <f t="shared" si="9"/>
        <v>3754.797323139438</v>
      </c>
    </row>
    <row r="20" spans="1:25" ht="23.45" customHeight="1" x14ac:dyDescent="0.25">
      <c r="A20" s="56" t="s">
        <v>53</v>
      </c>
      <c r="D20" s="55">
        <f>+D19/C19-1</f>
        <v>0.17606602475928468</v>
      </c>
      <c r="E20" s="55">
        <f t="shared" ref="E20:X20" si="10">+E19/D19-1</f>
        <v>0.16257309941520459</v>
      </c>
      <c r="F20" s="55">
        <f t="shared" si="10"/>
        <v>6.0362173038229328E-2</v>
      </c>
      <c r="G20" s="55">
        <f t="shared" si="10"/>
        <v>6.7362428842504762E-2</v>
      </c>
      <c r="H20" s="75">
        <f t="shared" si="10"/>
        <v>8.8888888888893902E-4</v>
      </c>
      <c r="I20" s="57">
        <f t="shared" si="10"/>
        <v>0.10313055062166954</v>
      </c>
      <c r="J20" s="55">
        <f t="shared" si="10"/>
        <v>7.73111673543323E-2</v>
      </c>
      <c r="K20" s="55">
        <f t="shared" si="10"/>
        <v>9.0807648061679735E-2</v>
      </c>
      <c r="L20" s="55">
        <f t="shared" si="10"/>
        <v>8.8827937686068559E-2</v>
      </c>
      <c r="M20" s="55">
        <f t="shared" si="10"/>
        <v>8.7040399793034462E-2</v>
      </c>
      <c r="N20" s="55">
        <f t="shared" si="10"/>
        <v>8.5420044976871834E-2</v>
      </c>
      <c r="O20" s="55">
        <f t="shared" si="10"/>
        <v>8.3945915399958437E-2</v>
      </c>
      <c r="P20" s="55">
        <f t="shared" si="10"/>
        <v>8.2600306454373884E-2</v>
      </c>
      <c r="Q20" s="55">
        <f t="shared" si="10"/>
        <v>8.1368162247126952E-2</v>
      </c>
      <c r="R20" s="55">
        <f t="shared" si="10"/>
        <v>7.7371028745429893E-2</v>
      </c>
      <c r="S20" s="55">
        <f t="shared" si="10"/>
        <v>7.3686648447242709E-2</v>
      </c>
      <c r="T20" s="55">
        <f t="shared" si="10"/>
        <v>6.7541068953032912E-2</v>
      </c>
      <c r="U20" s="55">
        <f t="shared" si="10"/>
        <v>6.7481655955721864E-2</v>
      </c>
      <c r="V20" s="55">
        <f t="shared" si="10"/>
        <v>6.7415070455313808E-2</v>
      </c>
      <c r="W20" s="55">
        <f t="shared" si="10"/>
        <v>6.2143549607495352E-2</v>
      </c>
      <c r="X20" s="55">
        <f t="shared" si="10"/>
        <v>5.5784643525438993E-2</v>
      </c>
    </row>
    <row r="21" spans="1:25" x14ac:dyDescent="0.25">
      <c r="A21" s="7" t="s">
        <v>44</v>
      </c>
      <c r="H21" s="65"/>
      <c r="I21" s="21"/>
    </row>
    <row r="22" spans="1:25" x14ac:dyDescent="0.25">
      <c r="A22" t="s">
        <v>40</v>
      </c>
      <c r="C22" s="8">
        <f>508-178+42</f>
        <v>372</v>
      </c>
      <c r="D22" s="8">
        <v>347</v>
      </c>
      <c r="E22" s="8">
        <f>563-229+46</f>
        <v>380</v>
      </c>
      <c r="F22" s="8">
        <f>589-252+43</f>
        <v>380</v>
      </c>
      <c r="G22" s="8">
        <f>45+565-207</f>
        <v>403</v>
      </c>
      <c r="H22" s="73">
        <f>598-221+48</f>
        <v>425</v>
      </c>
      <c r="I22" s="40">
        <f>654-3-240</f>
        <v>411</v>
      </c>
      <c r="J22" s="9">
        <f t="shared" ref="J22:X23" si="11">+I22*(1+J$9)</f>
        <v>421.27499999999998</v>
      </c>
      <c r="K22" s="9">
        <f t="shared" si="11"/>
        <v>431.80687499999993</v>
      </c>
      <c r="L22" s="9">
        <f t="shared" si="11"/>
        <v>442.60204687499987</v>
      </c>
      <c r="M22" s="9">
        <f t="shared" si="11"/>
        <v>453.66709804687486</v>
      </c>
      <c r="N22" s="9">
        <f t="shared" si="11"/>
        <v>465.0087754980467</v>
      </c>
      <c r="O22" s="9">
        <f t="shared" si="11"/>
        <v>476.63399488549783</v>
      </c>
      <c r="P22" s="9">
        <f t="shared" si="11"/>
        <v>488.54984475763524</v>
      </c>
      <c r="Q22" s="9">
        <f t="shared" si="11"/>
        <v>500.76359087657607</v>
      </c>
      <c r="R22" s="9">
        <f t="shared" si="11"/>
        <v>513.28268064849044</v>
      </c>
      <c r="S22" s="9">
        <f t="shared" si="11"/>
        <v>526.11474766470269</v>
      </c>
      <c r="T22" s="9">
        <f t="shared" si="11"/>
        <v>539.26761635632022</v>
      </c>
      <c r="U22" s="9">
        <f t="shared" si="11"/>
        <v>552.7493067652282</v>
      </c>
      <c r="V22" s="9">
        <f t="shared" si="11"/>
        <v>566.56803943435887</v>
      </c>
      <c r="W22" s="9">
        <f t="shared" si="11"/>
        <v>580.73224042021775</v>
      </c>
      <c r="X22" s="9">
        <f t="shared" si="11"/>
        <v>595.25054643072315</v>
      </c>
    </row>
    <row r="23" spans="1:25" x14ac:dyDescent="0.25">
      <c r="A23" t="s">
        <v>8</v>
      </c>
      <c r="C23" s="8">
        <v>772</v>
      </c>
      <c r="D23" s="8">
        <v>733</v>
      </c>
      <c r="E23" s="8">
        <v>698</v>
      </c>
      <c r="F23" s="8">
        <v>729</v>
      </c>
      <c r="G23" s="8">
        <v>748</v>
      </c>
      <c r="H23" s="73">
        <v>731</v>
      </c>
      <c r="I23" s="40">
        <f>774-12</f>
        <v>762</v>
      </c>
      <c r="J23" s="9">
        <f t="shared" si="11"/>
        <v>781.05</v>
      </c>
      <c r="K23" s="9">
        <f t="shared" si="11"/>
        <v>800.57624999999985</v>
      </c>
      <c r="L23" s="9">
        <f t="shared" si="11"/>
        <v>820.59065624999982</v>
      </c>
      <c r="M23" s="9">
        <f t="shared" si="11"/>
        <v>841.10542265624974</v>
      </c>
      <c r="N23" s="9">
        <f t="shared" si="11"/>
        <v>862.1330582226559</v>
      </c>
      <c r="O23" s="9">
        <f t="shared" si="11"/>
        <v>883.68638467822223</v>
      </c>
      <c r="P23" s="9">
        <f t="shared" si="11"/>
        <v>905.77854429517765</v>
      </c>
      <c r="Q23" s="9">
        <f t="shared" si="11"/>
        <v>928.42300790255706</v>
      </c>
      <c r="R23" s="9">
        <f t="shared" si="11"/>
        <v>951.63358310012086</v>
      </c>
      <c r="S23" s="9">
        <f t="shared" si="11"/>
        <v>975.42442267762385</v>
      </c>
      <c r="T23" s="9">
        <f t="shared" si="11"/>
        <v>999.81003324456435</v>
      </c>
      <c r="U23" s="9">
        <f t="shared" si="11"/>
        <v>1024.8052840756784</v>
      </c>
      <c r="V23" s="9">
        <f t="shared" si="11"/>
        <v>1050.4254161775702</v>
      </c>
      <c r="W23" s="9">
        <f t="shared" si="11"/>
        <v>1076.6860515820094</v>
      </c>
      <c r="X23" s="9">
        <f t="shared" si="11"/>
        <v>1103.6032028715597</v>
      </c>
    </row>
    <row r="24" spans="1:25" x14ac:dyDescent="0.25">
      <c r="A24" t="s">
        <v>30</v>
      </c>
      <c r="C24" s="8">
        <v>0</v>
      </c>
      <c r="D24" s="8">
        <v>0</v>
      </c>
      <c r="E24" s="8">
        <v>0</v>
      </c>
      <c r="F24" s="8">
        <v>0</v>
      </c>
      <c r="G24" s="8">
        <v>0</v>
      </c>
      <c r="H24" s="73">
        <v>0</v>
      </c>
      <c r="I24" s="40">
        <f t="shared" ref="I24:X24" si="12">+H24*(1+I9)</f>
        <v>0</v>
      </c>
      <c r="J24" s="9">
        <f t="shared" si="12"/>
        <v>0</v>
      </c>
      <c r="K24" s="9">
        <f t="shared" si="12"/>
        <v>0</v>
      </c>
      <c r="L24" s="9">
        <f t="shared" si="12"/>
        <v>0</v>
      </c>
      <c r="M24" s="9">
        <f t="shared" si="12"/>
        <v>0</v>
      </c>
      <c r="N24" s="9">
        <f t="shared" si="12"/>
        <v>0</v>
      </c>
      <c r="O24" s="9">
        <f t="shared" si="12"/>
        <v>0</v>
      </c>
      <c r="P24" s="9">
        <f t="shared" si="12"/>
        <v>0</v>
      </c>
      <c r="Q24" s="9">
        <f t="shared" si="12"/>
        <v>0</v>
      </c>
      <c r="R24" s="9">
        <f t="shared" si="12"/>
        <v>0</v>
      </c>
      <c r="S24" s="9">
        <f t="shared" si="12"/>
        <v>0</v>
      </c>
      <c r="T24" s="9">
        <f t="shared" si="12"/>
        <v>0</v>
      </c>
      <c r="U24" s="9">
        <f t="shared" si="12"/>
        <v>0</v>
      </c>
      <c r="V24" s="9">
        <f t="shared" si="12"/>
        <v>0</v>
      </c>
      <c r="W24" s="9">
        <f t="shared" si="12"/>
        <v>0</v>
      </c>
      <c r="X24" s="9">
        <f t="shared" si="12"/>
        <v>0</v>
      </c>
    </row>
    <row r="25" spans="1:25" x14ac:dyDescent="0.25">
      <c r="A25" t="s">
        <v>9</v>
      </c>
      <c r="C25" s="8">
        <f>116+42-47</f>
        <v>111</v>
      </c>
      <c r="D25" s="8">
        <v>81</v>
      </c>
      <c r="E25" s="8">
        <f>98+46-57</f>
        <v>87</v>
      </c>
      <c r="F25" s="8">
        <f>111-13</f>
        <v>98</v>
      </c>
      <c r="G25" s="8">
        <f>118-3</f>
        <v>115</v>
      </c>
      <c r="H25" s="73">
        <v>111</v>
      </c>
      <c r="I25" s="40">
        <v>120</v>
      </c>
      <c r="J25" s="9">
        <f t="shared" ref="J25:X25" si="13">+I25*(1+J$9)*1.02</f>
        <v>125.46</v>
      </c>
      <c r="K25" s="9">
        <f t="shared" si="13"/>
        <v>131.16843</v>
      </c>
      <c r="L25" s="9">
        <f t="shared" si="13"/>
        <v>137.13659356499997</v>
      </c>
      <c r="M25" s="9">
        <f t="shared" si="13"/>
        <v>143.37630857220748</v>
      </c>
      <c r="N25" s="9">
        <f t="shared" si="13"/>
        <v>149.89993061224291</v>
      </c>
      <c r="O25" s="9">
        <f t="shared" si="13"/>
        <v>156.72037745509996</v>
      </c>
      <c r="P25" s="9">
        <f t="shared" si="13"/>
        <v>163.85115462930699</v>
      </c>
      <c r="Q25" s="9">
        <f t="shared" si="13"/>
        <v>171.30638216494046</v>
      </c>
      <c r="R25" s="9">
        <f t="shared" si="13"/>
        <v>179.10082255344523</v>
      </c>
      <c r="S25" s="9">
        <f t="shared" si="13"/>
        <v>187.24990997962698</v>
      </c>
      <c r="T25" s="9">
        <f t="shared" si="13"/>
        <v>195.76978088370001</v>
      </c>
      <c r="U25" s="9">
        <f t="shared" si="13"/>
        <v>204.67730591390836</v>
      </c>
      <c r="V25" s="9">
        <f t="shared" si="13"/>
        <v>213.99012333299117</v>
      </c>
      <c r="W25" s="9">
        <f t="shared" si="13"/>
        <v>223.72667394464227</v>
      </c>
      <c r="X25" s="9">
        <f t="shared" si="13"/>
        <v>233.90623760912348</v>
      </c>
    </row>
    <row r="26" spans="1:25" x14ac:dyDescent="0.25">
      <c r="A26" t="s">
        <v>10</v>
      </c>
      <c r="C26" s="8">
        <v>22</v>
      </c>
      <c r="D26" s="8">
        <v>14</v>
      </c>
      <c r="E26" s="8">
        <v>31</v>
      </c>
      <c r="F26" s="8">
        <v>15</v>
      </c>
      <c r="G26" s="8">
        <v>18</v>
      </c>
      <c r="H26" s="73">
        <v>10</v>
      </c>
      <c r="I26" s="30">
        <v>9</v>
      </c>
      <c r="J26" s="8">
        <v>10</v>
      </c>
      <c r="K26" s="8">
        <v>10</v>
      </c>
      <c r="L26" s="8">
        <v>10</v>
      </c>
      <c r="M26" s="8">
        <v>10</v>
      </c>
      <c r="N26" s="8">
        <v>10</v>
      </c>
      <c r="O26" s="8">
        <v>10</v>
      </c>
      <c r="P26" s="8">
        <v>10</v>
      </c>
      <c r="Q26" s="8">
        <v>10</v>
      </c>
      <c r="R26" s="8">
        <v>10</v>
      </c>
      <c r="S26" s="8">
        <v>10</v>
      </c>
      <c r="T26" s="8">
        <v>10</v>
      </c>
      <c r="U26" s="8">
        <v>10</v>
      </c>
      <c r="V26" s="8">
        <v>10</v>
      </c>
      <c r="W26" s="8">
        <v>10</v>
      </c>
      <c r="X26" s="8">
        <v>10</v>
      </c>
    </row>
    <row r="27" spans="1:25" x14ac:dyDescent="0.25">
      <c r="A27" t="s">
        <v>11</v>
      </c>
      <c r="C27" s="8">
        <f>15-9</f>
        <v>6</v>
      </c>
      <c r="D27" s="8">
        <v>4</v>
      </c>
      <c r="E27" s="8">
        <v>8</v>
      </c>
      <c r="F27" s="8">
        <v>8</v>
      </c>
      <c r="G27" s="8">
        <v>13</v>
      </c>
      <c r="H27" s="73">
        <v>11</v>
      </c>
      <c r="I27" s="40">
        <v>22</v>
      </c>
      <c r="J27" s="9">
        <f t="shared" ref="J27:X29" si="14">+I27*(1+J$9)</f>
        <v>22.549999999999997</v>
      </c>
      <c r="K27" s="9">
        <f t="shared" si="14"/>
        <v>23.113749999999996</v>
      </c>
      <c r="L27" s="9">
        <f t="shared" si="14"/>
        <v>23.691593749999996</v>
      </c>
      <c r="M27" s="9">
        <f t="shared" si="14"/>
        <v>24.283883593749994</v>
      </c>
      <c r="N27" s="9">
        <f t="shared" si="14"/>
        <v>24.890980683593742</v>
      </c>
      <c r="O27" s="9">
        <f t="shared" si="14"/>
        <v>25.513255200683584</v>
      </c>
      <c r="P27" s="9">
        <f t="shared" si="14"/>
        <v>26.151086580700671</v>
      </c>
      <c r="Q27" s="9">
        <f t="shared" si="14"/>
        <v>26.804863745218185</v>
      </c>
      <c r="R27" s="9">
        <f t="shared" si="14"/>
        <v>27.474985338848636</v>
      </c>
      <c r="S27" s="9">
        <f t="shared" si="14"/>
        <v>28.161859972319849</v>
      </c>
      <c r="T27" s="9">
        <f t="shared" si="14"/>
        <v>28.865906471627842</v>
      </c>
      <c r="U27" s="9">
        <f t="shared" si="14"/>
        <v>29.587554133418536</v>
      </c>
      <c r="V27" s="9">
        <f t="shared" si="14"/>
        <v>30.327242986753998</v>
      </c>
      <c r="W27" s="9">
        <f t="shared" si="14"/>
        <v>31.085424061422845</v>
      </c>
      <c r="X27" s="9">
        <f t="shared" si="14"/>
        <v>31.862559662958414</v>
      </c>
    </row>
    <row r="28" spans="1:25" x14ac:dyDescent="0.25">
      <c r="A28" t="s">
        <v>13</v>
      </c>
      <c r="C28" s="8">
        <v>32</v>
      </c>
      <c r="D28" s="8">
        <v>29</v>
      </c>
      <c r="E28" s="8">
        <v>30</v>
      </c>
      <c r="F28" s="8">
        <v>30</v>
      </c>
      <c r="G28" s="8">
        <v>20</v>
      </c>
      <c r="H28" s="73">
        <v>22</v>
      </c>
      <c r="I28" s="40">
        <v>23</v>
      </c>
      <c r="J28" s="9">
        <f t="shared" si="14"/>
        <v>23.574999999999999</v>
      </c>
      <c r="K28" s="9">
        <f t="shared" si="14"/>
        <v>24.164374999999996</v>
      </c>
      <c r="L28" s="9">
        <f t="shared" si="14"/>
        <v>24.768484374999993</v>
      </c>
      <c r="M28" s="9">
        <f t="shared" si="14"/>
        <v>25.387696484374992</v>
      </c>
      <c r="N28" s="9">
        <f t="shared" si="14"/>
        <v>26.022388896484365</v>
      </c>
      <c r="O28" s="9">
        <f t="shared" si="14"/>
        <v>26.672948618896474</v>
      </c>
      <c r="P28" s="9">
        <f t="shared" si="14"/>
        <v>27.339772334368885</v>
      </c>
      <c r="Q28" s="9">
        <f t="shared" si="14"/>
        <v>28.023266642728103</v>
      </c>
      <c r="R28" s="9">
        <f t="shared" si="14"/>
        <v>28.723848308796303</v>
      </c>
      <c r="S28" s="9">
        <f t="shared" si="14"/>
        <v>29.441944516516209</v>
      </c>
      <c r="T28" s="9">
        <f t="shared" si="14"/>
        <v>30.177993129429112</v>
      </c>
      <c r="U28" s="9">
        <f t="shared" si="14"/>
        <v>30.932442957664836</v>
      </c>
      <c r="V28" s="9">
        <f t="shared" si="14"/>
        <v>31.705754031606453</v>
      </c>
      <c r="W28" s="9">
        <f t="shared" si="14"/>
        <v>32.49839788239661</v>
      </c>
      <c r="X28" s="9">
        <f t="shared" si="14"/>
        <v>33.310857829456523</v>
      </c>
    </row>
    <row r="29" spans="1:25" x14ac:dyDescent="0.25">
      <c r="A29" t="s">
        <v>14</v>
      </c>
      <c r="C29" s="8">
        <v>42</v>
      </c>
      <c r="D29" s="8">
        <v>46</v>
      </c>
      <c r="E29" s="8">
        <v>45</v>
      </c>
      <c r="F29" s="8">
        <v>50</v>
      </c>
      <c r="G29" s="8">
        <v>42</v>
      </c>
      <c r="H29" s="73">
        <v>39</v>
      </c>
      <c r="I29" s="40">
        <v>31</v>
      </c>
      <c r="J29" s="9">
        <f t="shared" si="14"/>
        <v>31.774999999999999</v>
      </c>
      <c r="K29" s="9">
        <f t="shared" si="14"/>
        <v>32.569374999999994</v>
      </c>
      <c r="L29" s="9">
        <f t="shared" si="14"/>
        <v>33.383609374999992</v>
      </c>
      <c r="M29" s="9">
        <f t="shared" si="14"/>
        <v>34.218199609374992</v>
      </c>
      <c r="N29" s="9">
        <f t="shared" si="14"/>
        <v>35.073654599609362</v>
      </c>
      <c r="O29" s="9">
        <f t="shared" si="14"/>
        <v>35.950495964599597</v>
      </c>
      <c r="P29" s="9">
        <f t="shared" si="14"/>
        <v>36.849258363714583</v>
      </c>
      <c r="Q29" s="9">
        <f t="shared" si="14"/>
        <v>37.770489822807441</v>
      </c>
      <c r="R29" s="9">
        <f t="shared" si="14"/>
        <v>38.714752068377621</v>
      </c>
      <c r="S29" s="9">
        <f t="shared" si="14"/>
        <v>39.682620870087057</v>
      </c>
      <c r="T29" s="9">
        <f t="shared" si="14"/>
        <v>40.674686391839231</v>
      </c>
      <c r="U29" s="9">
        <f t="shared" si="14"/>
        <v>41.691553551635209</v>
      </c>
      <c r="V29" s="9">
        <f t="shared" si="14"/>
        <v>42.733842390426084</v>
      </c>
      <c r="W29" s="9">
        <f t="shared" si="14"/>
        <v>43.802188450186733</v>
      </c>
      <c r="X29" s="9">
        <f t="shared" si="14"/>
        <v>44.897243161441395</v>
      </c>
    </row>
    <row r="30" spans="1:25" s="6" customFormat="1" x14ac:dyDescent="0.25">
      <c r="A30" s="6" t="s">
        <v>45</v>
      </c>
      <c r="C30" s="12">
        <f t="shared" ref="C30:X30" si="15">SUM(C22:C29)</f>
        <v>1357</v>
      </c>
      <c r="D30" s="12">
        <f t="shared" si="15"/>
        <v>1254</v>
      </c>
      <c r="E30" s="12">
        <f t="shared" si="15"/>
        <v>1279</v>
      </c>
      <c r="F30" s="12">
        <f t="shared" si="15"/>
        <v>1310</v>
      </c>
      <c r="G30" s="12">
        <f t="shared" si="15"/>
        <v>1359</v>
      </c>
      <c r="H30" s="77">
        <f t="shared" si="15"/>
        <v>1349</v>
      </c>
      <c r="I30" s="31">
        <f t="shared" si="15"/>
        <v>1378</v>
      </c>
      <c r="J30" s="12">
        <f t="shared" si="15"/>
        <v>1415.6849999999999</v>
      </c>
      <c r="K30" s="12">
        <f t="shared" si="15"/>
        <v>1453.3990549999999</v>
      </c>
      <c r="L30" s="12">
        <f t="shared" si="15"/>
        <v>1492.1729841899996</v>
      </c>
      <c r="M30" s="12">
        <f t="shared" si="15"/>
        <v>1532.0386089628323</v>
      </c>
      <c r="N30" s="12">
        <f t="shared" si="15"/>
        <v>1573.0287885126334</v>
      </c>
      <c r="O30" s="12">
        <f t="shared" si="15"/>
        <v>1615.1774568029996</v>
      </c>
      <c r="P30" s="12">
        <f t="shared" si="15"/>
        <v>1658.519660960904</v>
      </c>
      <c r="Q30" s="12">
        <f t="shared" si="15"/>
        <v>1703.0916011548272</v>
      </c>
      <c r="R30" s="12">
        <f t="shared" si="15"/>
        <v>1748.9306720180791</v>
      </c>
      <c r="S30" s="12">
        <f t="shared" si="15"/>
        <v>1796.0755056808766</v>
      </c>
      <c r="T30" s="12">
        <f t="shared" si="15"/>
        <v>1844.5660164774806</v>
      </c>
      <c r="U30" s="12">
        <f t="shared" si="15"/>
        <v>1894.4434473975336</v>
      </c>
      <c r="V30" s="12">
        <f t="shared" si="15"/>
        <v>1945.7504183537069</v>
      </c>
      <c r="W30" s="12">
        <f t="shared" si="15"/>
        <v>1998.5309763408757</v>
      </c>
      <c r="X30" s="12">
        <f t="shared" si="15"/>
        <v>2052.8306475652626</v>
      </c>
    </row>
    <row r="31" spans="1:25" ht="24" customHeight="1" x14ac:dyDescent="0.25">
      <c r="A31" s="56" t="s">
        <v>53</v>
      </c>
      <c r="D31" s="55">
        <f>+D30/C30-1</f>
        <v>-7.5902726602800286E-2</v>
      </c>
      <c r="E31" s="55">
        <f t="shared" ref="E31:X31" si="16">+E30/D30-1</f>
        <v>1.9936204146730363E-2</v>
      </c>
      <c r="F31" s="55">
        <f t="shared" si="16"/>
        <v>2.4237685691946842E-2</v>
      </c>
      <c r="G31" s="55">
        <f t="shared" si="16"/>
        <v>3.7404580152671674E-2</v>
      </c>
      <c r="H31" s="75">
        <f t="shared" si="16"/>
        <v>-7.3583517292126199E-3</v>
      </c>
      <c r="I31" s="57">
        <f t="shared" si="16"/>
        <v>2.1497405485544796E-2</v>
      </c>
      <c r="J31" s="55">
        <f t="shared" si="16"/>
        <v>2.7347605224963711E-2</v>
      </c>
      <c r="K31" s="55">
        <f t="shared" si="16"/>
        <v>2.664014593641939E-2</v>
      </c>
      <c r="L31" s="55">
        <f t="shared" si="16"/>
        <v>2.6678102656396474E-2</v>
      </c>
      <c r="M31" s="55">
        <f t="shared" si="16"/>
        <v>2.671649010886834E-2</v>
      </c>
      <c r="N31" s="55">
        <f t="shared" si="16"/>
        <v>2.6755317594476802E-2</v>
      </c>
      <c r="O31" s="55">
        <f t="shared" si="16"/>
        <v>2.6794594350825429E-2</v>
      </c>
      <c r="P31" s="55">
        <f t="shared" si="16"/>
        <v>2.6834329550199376E-2</v>
      </c>
      <c r="Q31" s="55">
        <f t="shared" si="16"/>
        <v>2.6874532297132658E-2</v>
      </c>
      <c r="R31" s="55">
        <f t="shared" si="16"/>
        <v>2.6915211625827773E-2</v>
      </c>
      <c r="S31" s="55">
        <f t="shared" si="16"/>
        <v>2.6956376497415668E-2</v>
      </c>
      <c r="T31" s="55">
        <f t="shared" si="16"/>
        <v>2.6998035797064945E-2</v>
      </c>
      <c r="U31" s="55">
        <f t="shared" si="16"/>
        <v>2.7040198330934517E-2</v>
      </c>
      <c r="V31" s="55">
        <f t="shared" si="16"/>
        <v>2.7082872822968396E-2</v>
      </c>
      <c r="W31" s="55">
        <f t="shared" si="16"/>
        <v>2.7126067911539264E-2</v>
      </c>
      <c r="X31" s="55">
        <f t="shared" si="16"/>
        <v>2.7169792145931293E-2</v>
      </c>
    </row>
    <row r="32" spans="1:25" ht="15.6" customHeight="1" x14ac:dyDescent="0.25">
      <c r="A32" s="42" t="s">
        <v>47</v>
      </c>
      <c r="C32" s="8">
        <v>21</v>
      </c>
      <c r="D32" s="8">
        <v>0</v>
      </c>
      <c r="E32" s="8">
        <v>0</v>
      </c>
      <c r="F32" s="2">
        <v>0</v>
      </c>
      <c r="G32">
        <v>0</v>
      </c>
      <c r="H32" s="65">
        <v>0</v>
      </c>
      <c r="I32" s="21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</row>
    <row r="33" spans="1:24" ht="9" customHeight="1" x14ac:dyDescent="0.25">
      <c r="A33" s="56"/>
      <c r="D33" s="55"/>
      <c r="E33" s="55"/>
      <c r="F33" s="55"/>
      <c r="G33" s="55"/>
      <c r="H33" s="75"/>
      <c r="I33" s="57"/>
      <c r="J33" s="55"/>
      <c r="K33" s="55"/>
      <c r="L33" s="55"/>
      <c r="M33" s="55"/>
      <c r="N33" s="55"/>
      <c r="O33" s="55"/>
      <c r="P33" s="55"/>
      <c r="Q33" s="55"/>
      <c r="R33" s="55"/>
      <c r="S33" s="55"/>
      <c r="T33" s="55"/>
      <c r="U33" s="55"/>
      <c r="V33" s="55"/>
      <c r="W33" s="55"/>
      <c r="X33" s="55"/>
    </row>
    <row r="34" spans="1:24" ht="15.95" customHeight="1" x14ac:dyDescent="0.25">
      <c r="A34" s="81" t="s">
        <v>59</v>
      </c>
      <c r="B34" s="82"/>
      <c r="C34" s="83">
        <f t="shared" ref="C34:X34" si="17">+C19-C30+C32</f>
        <v>-609</v>
      </c>
      <c r="D34" s="83">
        <f t="shared" si="17"/>
        <v>-399</v>
      </c>
      <c r="E34" s="83">
        <f t="shared" si="17"/>
        <v>-285</v>
      </c>
      <c r="F34" s="83">
        <f t="shared" si="17"/>
        <v>-256</v>
      </c>
      <c r="G34" s="83">
        <f t="shared" si="17"/>
        <v>-234</v>
      </c>
      <c r="H34" s="84">
        <f t="shared" si="17"/>
        <v>-223</v>
      </c>
      <c r="I34" s="85">
        <f t="shared" si="17"/>
        <v>-135.875</v>
      </c>
      <c r="J34" s="83">
        <f t="shared" si="17"/>
        <v>-77.529866249999941</v>
      </c>
      <c r="K34" s="83">
        <f t="shared" si="17"/>
        <v>6.2707991875001881</v>
      </c>
      <c r="L34" s="83">
        <f t="shared" si="17"/>
        <v>97.15633284750038</v>
      </c>
      <c r="M34" s="83">
        <f t="shared" si="17"/>
        <v>195.62656723240207</v>
      </c>
      <c r="N34" s="83">
        <f t="shared" si="17"/>
        <v>302.21362473817317</v>
      </c>
      <c r="O34" s="83">
        <f t="shared" si="17"/>
        <v>417.48389742497284</v>
      </c>
      <c r="P34" s="83">
        <f t="shared" si="17"/>
        <v>542.04014404426175</v>
      </c>
      <c r="Q34" s="83">
        <f t="shared" si="17"/>
        <v>676.52371109850515</v>
      </c>
      <c r="R34" s="83">
        <f t="shared" si="17"/>
        <v>814.79792496267078</v>
      </c>
      <c r="S34" s="83">
        <f t="shared" si="17"/>
        <v>956.56565913973645</v>
      </c>
      <c r="T34" s="83">
        <f t="shared" si="17"/>
        <v>1093.9914750592382</v>
      </c>
      <c r="U34" s="83">
        <f t="shared" si="17"/>
        <v>1242.4127697891752</v>
      </c>
      <c r="V34" s="83">
        <f t="shared" si="17"/>
        <v>1402.5771817228331</v>
      </c>
      <c r="W34" s="83">
        <f t="shared" si="17"/>
        <v>1557.8735860531663</v>
      </c>
      <c r="X34" s="83">
        <f t="shared" si="17"/>
        <v>1701.9666755741755</v>
      </c>
    </row>
    <row r="35" spans="1:24" ht="9.6" customHeight="1" x14ac:dyDescent="0.25">
      <c r="A35" s="56"/>
      <c r="D35" s="55"/>
      <c r="E35" s="55"/>
      <c r="F35" s="55"/>
      <c r="G35" s="55"/>
      <c r="H35" s="75"/>
      <c r="I35" s="57"/>
      <c r="J35" s="55"/>
      <c r="K35" s="55"/>
      <c r="L35" s="55"/>
      <c r="M35" s="55"/>
      <c r="N35" s="55"/>
      <c r="O35" s="55"/>
      <c r="P35" s="55"/>
      <c r="Q35" s="55"/>
      <c r="R35" s="55"/>
      <c r="S35" s="55"/>
      <c r="T35" s="55"/>
      <c r="U35" s="55"/>
      <c r="V35" s="55"/>
      <c r="W35" s="55"/>
      <c r="X35" s="55"/>
    </row>
    <row r="36" spans="1:24" x14ac:dyDescent="0.25">
      <c r="A36" t="s">
        <v>23</v>
      </c>
      <c r="C36" s="8">
        <v>-5</v>
      </c>
      <c r="D36" s="8">
        <v>-3</v>
      </c>
      <c r="E36" s="8">
        <v>-35</v>
      </c>
      <c r="F36" s="8">
        <v>-5</v>
      </c>
      <c r="G36" s="63">
        <v>-4</v>
      </c>
      <c r="H36" s="76">
        <v>-7</v>
      </c>
      <c r="I36" s="41">
        <v>0</v>
      </c>
      <c r="J36" s="15">
        <v>-10</v>
      </c>
      <c r="K36" s="15">
        <v>-10</v>
      </c>
      <c r="L36" s="15">
        <v>-10</v>
      </c>
      <c r="M36" s="15">
        <v>-10</v>
      </c>
      <c r="N36" s="15">
        <v>-10</v>
      </c>
      <c r="O36" s="15">
        <v>-10</v>
      </c>
      <c r="P36" s="15">
        <v>-10</v>
      </c>
      <c r="Q36" s="15">
        <v>-10</v>
      </c>
      <c r="R36" s="15">
        <v>-10</v>
      </c>
      <c r="S36" s="15">
        <v>-10</v>
      </c>
      <c r="T36" s="15">
        <v>-10</v>
      </c>
      <c r="U36" s="15">
        <v>-10</v>
      </c>
      <c r="V36" s="15">
        <v>-10</v>
      </c>
      <c r="W36" s="15">
        <v>-10</v>
      </c>
      <c r="X36" s="15">
        <v>-10</v>
      </c>
    </row>
    <row r="37" spans="1:24" ht="12.6" customHeight="1" x14ac:dyDescent="0.25">
      <c r="A37" t="s">
        <v>42</v>
      </c>
      <c r="C37" s="8">
        <f>10+15+2+13-11</f>
        <v>29</v>
      </c>
      <c r="D37" s="10">
        <v>26</v>
      </c>
      <c r="E37" s="10">
        <v>26</v>
      </c>
      <c r="F37" s="10">
        <v>47</v>
      </c>
      <c r="G37" s="10">
        <v>36</v>
      </c>
      <c r="H37" s="78">
        <v>-79</v>
      </c>
      <c r="I37" s="21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</row>
    <row r="38" spans="1:24" ht="7.5" customHeight="1" x14ac:dyDescent="0.25">
      <c r="C38" s="8"/>
      <c r="D38" s="10"/>
      <c r="E38" s="10"/>
      <c r="F38" s="10"/>
      <c r="G38" s="10"/>
      <c r="H38" s="78"/>
      <c r="I38" s="21"/>
    </row>
    <row r="39" spans="1:24" ht="15.95" customHeight="1" x14ac:dyDescent="0.25">
      <c r="A39" s="81" t="s">
        <v>60</v>
      </c>
      <c r="B39" s="82"/>
      <c r="C39" s="83">
        <f>+C34+C36+C37</f>
        <v>-585</v>
      </c>
      <c r="D39" s="83">
        <f t="shared" ref="D39:X39" si="18">+D34+D36+D37</f>
        <v>-376</v>
      </c>
      <c r="E39" s="83">
        <f t="shared" si="18"/>
        <v>-294</v>
      </c>
      <c r="F39" s="83">
        <f t="shared" si="18"/>
        <v>-214</v>
      </c>
      <c r="G39" s="83">
        <f t="shared" si="18"/>
        <v>-202</v>
      </c>
      <c r="H39" s="84">
        <f t="shared" si="18"/>
        <v>-309</v>
      </c>
      <c r="I39" s="85">
        <f t="shared" si="18"/>
        <v>-135.875</v>
      </c>
      <c r="J39" s="83">
        <f t="shared" si="18"/>
        <v>-87.529866249999941</v>
      </c>
      <c r="K39" s="83">
        <f t="shared" si="18"/>
        <v>-3.7292008124998119</v>
      </c>
      <c r="L39" s="83">
        <f t="shared" si="18"/>
        <v>87.15633284750038</v>
      </c>
      <c r="M39" s="83">
        <f t="shared" si="18"/>
        <v>185.62656723240207</v>
      </c>
      <c r="N39" s="83">
        <f t="shared" si="18"/>
        <v>292.21362473817317</v>
      </c>
      <c r="O39" s="83">
        <f t="shared" si="18"/>
        <v>407.48389742497284</v>
      </c>
      <c r="P39" s="83">
        <f t="shared" si="18"/>
        <v>532.04014404426175</v>
      </c>
      <c r="Q39" s="83">
        <f t="shared" si="18"/>
        <v>666.52371109850515</v>
      </c>
      <c r="R39" s="83">
        <f t="shared" si="18"/>
        <v>804.79792496267078</v>
      </c>
      <c r="S39" s="83">
        <f t="shared" si="18"/>
        <v>946.56565913973645</v>
      </c>
      <c r="T39" s="83">
        <f t="shared" si="18"/>
        <v>1083.9914750592382</v>
      </c>
      <c r="U39" s="83">
        <f t="shared" si="18"/>
        <v>1232.4127697891752</v>
      </c>
      <c r="V39" s="83">
        <f t="shared" si="18"/>
        <v>1392.5771817228331</v>
      </c>
      <c r="W39" s="83">
        <f t="shared" si="18"/>
        <v>1547.8735860531663</v>
      </c>
      <c r="X39" s="83">
        <f t="shared" si="18"/>
        <v>1691.9666755741755</v>
      </c>
    </row>
    <row r="40" spans="1:24" ht="8.1" customHeight="1" x14ac:dyDescent="0.25">
      <c r="A40" s="56"/>
      <c r="D40" s="55"/>
      <c r="E40" s="55"/>
      <c r="F40" s="55"/>
      <c r="G40" s="55"/>
      <c r="H40" s="75"/>
      <c r="I40" s="57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</row>
    <row r="41" spans="1:24" x14ac:dyDescent="0.25">
      <c r="A41" t="s">
        <v>18</v>
      </c>
      <c r="C41" s="86">
        <v>178</v>
      </c>
      <c r="D41" s="86">
        <v>207</v>
      </c>
      <c r="E41" s="86">
        <v>229</v>
      </c>
      <c r="F41" s="86">
        <v>252</v>
      </c>
      <c r="G41" s="86">
        <v>207</v>
      </c>
      <c r="H41" s="87">
        <v>221</v>
      </c>
      <c r="I41" s="88">
        <v>240</v>
      </c>
      <c r="J41" s="89">
        <f t="shared" ref="J41:X41" si="19">MAX((I44+(J30-J19)/2)*J11,0)</f>
        <v>325.9171971578125</v>
      </c>
      <c r="K41" s="89">
        <f t="shared" si="19"/>
        <v>341.70793321209771</v>
      </c>
      <c r="L41" s="89">
        <f t="shared" si="19"/>
        <v>354.45769381786801</v>
      </c>
      <c r="M41" s="89">
        <f t="shared" si="19"/>
        <v>363.7255091784296</v>
      </c>
      <c r="N41" s="89">
        <f t="shared" si="19"/>
        <v>369.02973923913805</v>
      </c>
      <c r="O41" s="89">
        <f t="shared" si="19"/>
        <v>369.84493081083463</v>
      </c>
      <c r="P41" s="89">
        <f t="shared" si="19"/>
        <v>365.59845448907384</v>
      </c>
      <c r="Q41" s="89">
        <f t="shared" si="19"/>
        <v>355.66690688307574</v>
      </c>
      <c r="R41" s="89">
        <f t="shared" si="19"/>
        <v>339.51716565930639</v>
      </c>
      <c r="S41" s="89">
        <f t="shared" si="19"/>
        <v>316.7301690376508</v>
      </c>
      <c r="T41" s="89">
        <f t="shared" si="19"/>
        <v>287.04186212002276</v>
      </c>
      <c r="U41" s="89">
        <f t="shared" si="19"/>
        <v>250.01755105709495</v>
      </c>
      <c r="V41" s="89">
        <f t="shared" si="19"/>
        <v>204.86226050739131</v>
      </c>
      <c r="W41" s="89">
        <f t="shared" si="19"/>
        <v>151.08432776371544</v>
      </c>
      <c r="X41" s="89">
        <f t="shared" si="19"/>
        <v>88.658806134092302</v>
      </c>
    </row>
    <row r="42" spans="1:24" s="6" customFormat="1" x14ac:dyDescent="0.25">
      <c r="A42" s="6" t="s">
        <v>61</v>
      </c>
      <c r="C42" s="12">
        <f>+C39-C41</f>
        <v>-763</v>
      </c>
      <c r="D42" s="12">
        <f t="shared" ref="D42:X42" si="20">+D39-D41</f>
        <v>-583</v>
      </c>
      <c r="E42" s="12">
        <f t="shared" si="20"/>
        <v>-523</v>
      </c>
      <c r="F42" s="12">
        <f t="shared" si="20"/>
        <v>-466</v>
      </c>
      <c r="G42" s="12">
        <f t="shared" si="20"/>
        <v>-409</v>
      </c>
      <c r="H42" s="77">
        <f t="shared" si="20"/>
        <v>-530</v>
      </c>
      <c r="I42" s="31">
        <f t="shared" si="20"/>
        <v>-375.875</v>
      </c>
      <c r="J42" s="12">
        <f t="shared" si="20"/>
        <v>-413.44706340781244</v>
      </c>
      <c r="K42" s="12">
        <f t="shared" si="20"/>
        <v>-345.43713402459753</v>
      </c>
      <c r="L42" s="12">
        <f t="shared" si="20"/>
        <v>-267.30136097036763</v>
      </c>
      <c r="M42" s="12">
        <f t="shared" si="20"/>
        <v>-178.09894194602754</v>
      </c>
      <c r="N42" s="12">
        <f t="shared" si="20"/>
        <v>-76.816114500964886</v>
      </c>
      <c r="O42" s="12">
        <f t="shared" si="20"/>
        <v>37.638966614138212</v>
      </c>
      <c r="P42" s="12">
        <f t="shared" si="20"/>
        <v>166.44168955518791</v>
      </c>
      <c r="Q42" s="12">
        <f t="shared" si="20"/>
        <v>310.85680421542941</v>
      </c>
      <c r="R42" s="12">
        <f t="shared" si="20"/>
        <v>465.28075930336439</v>
      </c>
      <c r="S42" s="12">
        <f t="shared" si="20"/>
        <v>629.83549010208571</v>
      </c>
      <c r="T42" s="12">
        <f t="shared" si="20"/>
        <v>796.9496129392154</v>
      </c>
      <c r="U42" s="12">
        <f t="shared" si="20"/>
        <v>982.39521873208025</v>
      </c>
      <c r="V42" s="12">
        <f t="shared" si="20"/>
        <v>1187.7149212154418</v>
      </c>
      <c r="W42" s="12">
        <f t="shared" si="20"/>
        <v>1396.7892582894508</v>
      </c>
      <c r="X42" s="12">
        <f t="shared" si="20"/>
        <v>1603.3078694400831</v>
      </c>
    </row>
    <row r="43" spans="1:24" x14ac:dyDescent="0.25">
      <c r="F43" s="10"/>
      <c r="G43" s="10"/>
      <c r="H43" s="65"/>
      <c r="I43" s="21"/>
    </row>
    <row r="44" spans="1:24" x14ac:dyDescent="0.25">
      <c r="A44" s="21" t="s">
        <v>26</v>
      </c>
      <c r="B44" s="21"/>
      <c r="C44" s="22">
        <v>4735</v>
      </c>
      <c r="D44" s="22">
        <v>5318</v>
      </c>
      <c r="E44" s="22">
        <f>5606+229</f>
        <v>5835</v>
      </c>
      <c r="F44" s="22">
        <v>6332</v>
      </c>
      <c r="G44" s="22">
        <v>6730</v>
      </c>
      <c r="H44" s="78">
        <v>7254</v>
      </c>
      <c r="I44" s="23">
        <f t="shared" ref="I44:X44" si="21">MAX(0,+H44-I42)</f>
        <v>7629.875</v>
      </c>
      <c r="J44" s="23">
        <f t="shared" si="21"/>
        <v>8043.3220634078125</v>
      </c>
      <c r="K44" s="23">
        <f t="shared" si="21"/>
        <v>8388.7591974324096</v>
      </c>
      <c r="L44" s="23">
        <f t="shared" si="21"/>
        <v>8656.060558402778</v>
      </c>
      <c r="M44" s="23">
        <f t="shared" si="21"/>
        <v>8834.1595003488055</v>
      </c>
      <c r="N44" s="23">
        <f t="shared" si="21"/>
        <v>8910.9756148497709</v>
      </c>
      <c r="O44" s="23">
        <f t="shared" si="21"/>
        <v>8873.3366482356323</v>
      </c>
      <c r="P44" s="23">
        <f t="shared" si="21"/>
        <v>8706.8949586804447</v>
      </c>
      <c r="Q44" s="23">
        <f t="shared" si="21"/>
        <v>8396.0381544650154</v>
      </c>
      <c r="R44" s="23">
        <f t="shared" si="21"/>
        <v>7930.7573951616514</v>
      </c>
      <c r="S44" s="23">
        <f t="shared" si="21"/>
        <v>7300.9219050595657</v>
      </c>
      <c r="T44" s="23">
        <f t="shared" si="21"/>
        <v>6503.9722921203502</v>
      </c>
      <c r="U44" s="23">
        <f t="shared" si="21"/>
        <v>5521.57707338827</v>
      </c>
      <c r="V44" s="23">
        <f t="shared" si="21"/>
        <v>4333.8621521728282</v>
      </c>
      <c r="W44" s="23">
        <f t="shared" si="21"/>
        <v>2937.0728938833772</v>
      </c>
      <c r="X44" s="23">
        <f t="shared" si="21"/>
        <v>1333.7650244432941</v>
      </c>
    </row>
    <row r="45" spans="1:24" x14ac:dyDescent="0.25">
      <c r="A45" s="21" t="s">
        <v>27</v>
      </c>
      <c r="B45" s="21"/>
      <c r="C45" s="22">
        <v>4731</v>
      </c>
      <c r="D45" s="22">
        <v>4752</v>
      </c>
      <c r="E45" s="22">
        <v>4776</v>
      </c>
      <c r="F45" s="22">
        <v>5144</v>
      </c>
      <c r="G45" s="22">
        <v>5444</v>
      </c>
      <c r="H45" s="68">
        <f>+G45+979</f>
        <v>6423</v>
      </c>
      <c r="I45" s="24">
        <f t="shared" ref="I45:X45" si="22">IF(I44&gt;0,H45+I46,MAX(0,H45+I46-(I42-(H44-I44))))</f>
        <v>7191</v>
      </c>
      <c r="J45" s="24">
        <f t="shared" si="22"/>
        <v>7500</v>
      </c>
      <c r="K45" s="24">
        <f t="shared" si="22"/>
        <v>7500</v>
      </c>
      <c r="L45" s="24">
        <f t="shared" si="22"/>
        <v>7500</v>
      </c>
      <c r="M45" s="24">
        <f t="shared" si="22"/>
        <v>7500</v>
      </c>
      <c r="N45" s="24">
        <f t="shared" si="22"/>
        <v>7500</v>
      </c>
      <c r="O45" s="24">
        <f t="shared" si="22"/>
        <v>7500</v>
      </c>
      <c r="P45" s="24">
        <f t="shared" si="22"/>
        <v>7500</v>
      </c>
      <c r="Q45" s="24">
        <f t="shared" si="22"/>
        <v>7500</v>
      </c>
      <c r="R45" s="24">
        <f t="shared" si="22"/>
        <v>7500</v>
      </c>
      <c r="S45" s="24">
        <f t="shared" si="22"/>
        <v>7500</v>
      </c>
      <c r="T45" s="24">
        <f t="shared" si="22"/>
        <v>7500</v>
      </c>
      <c r="U45" s="24">
        <f t="shared" si="22"/>
        <v>7500</v>
      </c>
      <c r="V45" s="24">
        <f t="shared" si="22"/>
        <v>7500</v>
      </c>
      <c r="W45" s="24">
        <f t="shared" si="22"/>
        <v>7500</v>
      </c>
      <c r="X45" s="24">
        <f t="shared" si="22"/>
        <v>7500</v>
      </c>
    </row>
    <row r="46" spans="1:24" x14ac:dyDescent="0.25">
      <c r="A46" t="s">
        <v>31</v>
      </c>
      <c r="C46" s="54"/>
      <c r="D46" s="54">
        <f>+D45-C45</f>
        <v>21</v>
      </c>
      <c r="E46" s="54">
        <f>+E45-D45</f>
        <v>24</v>
      </c>
      <c r="F46" s="54">
        <f>+F45-E45</f>
        <v>368</v>
      </c>
      <c r="G46" s="54">
        <f>+G45-F45</f>
        <v>300</v>
      </c>
      <c r="H46" s="80">
        <v>979</v>
      </c>
      <c r="I46" s="21">
        <v>768</v>
      </c>
      <c r="J46">
        <f>IF(SUM($D46:I46)&lt;(7500-$C45),IF((10000*J6/1000+SUM($D46:I46))&lt;(7500-$C45),10000*J6/1000,7500-$C45-SUM($D46:I46)),0)</f>
        <v>309</v>
      </c>
      <c r="K46">
        <f>IF(SUM($D46:J46)&lt;(7500-$C45),IF((10000*K6/1000+SUM($D46:J46))&lt;(7500-$C45),10000*K6/1000,7500-$C45-SUM($D46:J46)),0)</f>
        <v>0</v>
      </c>
      <c r="L46">
        <f>IF(SUM($D46:K46)&lt;(7500-$C45),IF((10000*L6/1000+SUM($D46:K46))&lt;(7500-$C45),10000*L6/1000,7500-$C45-SUM($D46:K46)),0)</f>
        <v>0</v>
      </c>
      <c r="M46">
        <f>IF(SUM($D46:L46)&lt;(7500-$C45),IF((10000*M6/1000+SUM($D46:L46))&lt;(7500-$C45),10000*M6/1000,7500-$C45-SUM($D46:L46)),0)</f>
        <v>0</v>
      </c>
      <c r="N46">
        <f>IF(SUM($D46:M46)&lt;(7500-$C45),IF((10000*N6/1000+SUM($D46:M46))&lt;(7500-$C45),10000*N6/1000,7500-$C45-SUM($D46:M46)),0)</f>
        <v>0</v>
      </c>
      <c r="O46">
        <f>IF(SUM($D46:N46)&lt;(7500-$C45),IF((10000*O6/1000+SUM($D46:N46))&lt;(7500-$C45),10000*O6/1000,7500-$C45-SUM($D46:N46)),0)</f>
        <v>0</v>
      </c>
      <c r="P46">
        <f>IF(SUM($D46:O46)&lt;(7500-$C45),IF((10000*P6/1000+SUM($D46:O46))&lt;(7500-$C45),10000*P6/1000,7500-$C45-SUM($D46:O46)),0)</f>
        <v>0</v>
      </c>
      <c r="Q46">
        <f>IF(SUM($D46:P46)&lt;(7500-$C45),IF((10000*Q6/1000+SUM($D46:P46))&lt;(7500-$C45),10000*Q6/1000,7500-$C45-SUM($D46:P46)),0)</f>
        <v>0</v>
      </c>
      <c r="R46">
        <f>IF(SUM($D46:Q46)&lt;(7500-$C45),IF((10000*R6/1000+SUM($D46:Q46))&lt;(7500-$C45),10000*R6/1000,7500-$C45-SUM($D46:Q46)),0)</f>
        <v>0</v>
      </c>
      <c r="S46">
        <f>IF(SUM($D46:R46)&lt;(7500-$C45),IF((10000*S6/1000+SUM($D46:R46))&lt;(7500-$C45),10000*S6/1000,7500-$C45-SUM($D46:R46)),0)</f>
        <v>0</v>
      </c>
      <c r="T46">
        <f>IF(SUM($D46:S46)&lt;(7500-$C45),IF((10000*T6/1000+SUM($D46:S46))&lt;(7500-$C45),10000*T6/1000,7500-$C45-SUM($D46:S46)),0)</f>
        <v>0</v>
      </c>
      <c r="U46">
        <f>IF(SUM($D46:T46)&lt;(7500-$C45),IF((10000*U6/1000+SUM($D46:T46))&lt;(7500-$C45),10000*U6/1000,7500-$C45-SUM($D46:T46)),0)</f>
        <v>0</v>
      </c>
      <c r="V46">
        <f>IF(SUM($D46:U46)&lt;(7500-$C45),IF((10000*V6/1000+SUM($D46:U46))&lt;(7500-$C45),10000*V6/1000,7500-$C45-SUM($D46:U46)),0)</f>
        <v>0</v>
      </c>
      <c r="W46">
        <f>IF(SUM($D46:V46)&lt;(7500-$C45),IF((10000*W6/1000+SUM($D46:V46))&lt;(7500-$C45),10000*W6/1000,7500-$C45-SUM($D46:V46)),0)</f>
        <v>0</v>
      </c>
      <c r="X46">
        <f>IF(SUM($D46:W46)&lt;(7500-$C45),IF((10000*X6/1000+SUM($D46:W46))&lt;(7500-$C45),10000*X6/1000,7500-$C45-SUM($D46:W46)),0)</f>
        <v>0</v>
      </c>
    </row>
    <row r="47" spans="1:24" x14ac:dyDescent="0.25">
      <c r="A47" t="s">
        <v>55</v>
      </c>
      <c r="C47">
        <v>8</v>
      </c>
      <c r="D47" s="11">
        <v>8</v>
      </c>
      <c r="E47" s="11">
        <v>2</v>
      </c>
      <c r="F47" s="11">
        <v>33</v>
      </c>
      <c r="G47" s="11">
        <v>22</v>
      </c>
      <c r="H47" s="65">
        <v>16</v>
      </c>
      <c r="I47" s="23">
        <f>+H47</f>
        <v>16</v>
      </c>
      <c r="J47" s="11">
        <f t="shared" ref="J47:X47" si="23">+I47</f>
        <v>16</v>
      </c>
      <c r="K47" s="11">
        <f t="shared" si="23"/>
        <v>16</v>
      </c>
      <c r="L47" s="11">
        <f t="shared" si="23"/>
        <v>16</v>
      </c>
      <c r="M47" s="11">
        <f t="shared" si="23"/>
        <v>16</v>
      </c>
      <c r="N47" s="11">
        <f t="shared" si="23"/>
        <v>16</v>
      </c>
      <c r="O47" s="11">
        <f t="shared" si="23"/>
        <v>16</v>
      </c>
      <c r="P47" s="11">
        <f t="shared" si="23"/>
        <v>16</v>
      </c>
      <c r="Q47" s="11">
        <f t="shared" si="23"/>
        <v>16</v>
      </c>
      <c r="R47" s="11">
        <f t="shared" si="23"/>
        <v>16</v>
      </c>
      <c r="S47" s="11">
        <f t="shared" si="23"/>
        <v>16</v>
      </c>
      <c r="T47" s="11">
        <f t="shared" si="23"/>
        <v>16</v>
      </c>
      <c r="U47" s="11">
        <f t="shared" si="23"/>
        <v>16</v>
      </c>
      <c r="V47" s="11">
        <f t="shared" si="23"/>
        <v>16</v>
      </c>
      <c r="W47" s="11">
        <f t="shared" si="23"/>
        <v>16</v>
      </c>
      <c r="X47" s="11">
        <f t="shared" si="23"/>
        <v>16</v>
      </c>
    </row>
    <row r="48" spans="1:24" x14ac:dyDescent="0.25">
      <c r="A48" t="s">
        <v>56</v>
      </c>
      <c r="C48">
        <f t="shared" ref="C48:F48" si="24">+C47-B47</f>
        <v>8</v>
      </c>
      <c r="D48" s="11">
        <f t="shared" si="24"/>
        <v>0</v>
      </c>
      <c r="E48" s="11">
        <f t="shared" si="24"/>
        <v>-6</v>
      </c>
      <c r="F48" s="11">
        <f t="shared" si="24"/>
        <v>31</v>
      </c>
      <c r="G48" s="11">
        <f>+G47-F47</f>
        <v>-11</v>
      </c>
      <c r="H48" s="78">
        <f>+H47-G47</f>
        <v>-6</v>
      </c>
      <c r="I48" s="23">
        <f t="shared" ref="I48:X48" si="25">+I47-H47</f>
        <v>0</v>
      </c>
      <c r="J48" s="11">
        <f t="shared" si="25"/>
        <v>0</v>
      </c>
      <c r="K48" s="11">
        <f t="shared" si="25"/>
        <v>0</v>
      </c>
      <c r="L48" s="11">
        <f t="shared" si="25"/>
        <v>0</v>
      </c>
      <c r="M48" s="11">
        <f t="shared" si="25"/>
        <v>0</v>
      </c>
      <c r="N48" s="11">
        <f t="shared" si="25"/>
        <v>0</v>
      </c>
      <c r="O48" s="11">
        <f t="shared" si="25"/>
        <v>0</v>
      </c>
      <c r="P48" s="11">
        <f t="shared" si="25"/>
        <v>0</v>
      </c>
      <c r="Q48" s="11">
        <f t="shared" si="25"/>
        <v>0</v>
      </c>
      <c r="R48" s="11">
        <f t="shared" si="25"/>
        <v>0</v>
      </c>
      <c r="S48" s="11">
        <f t="shared" si="25"/>
        <v>0</v>
      </c>
      <c r="T48" s="11">
        <f t="shared" si="25"/>
        <v>0</v>
      </c>
      <c r="U48" s="11">
        <f t="shared" si="25"/>
        <v>0</v>
      </c>
      <c r="V48" s="11">
        <f t="shared" si="25"/>
        <v>0</v>
      </c>
      <c r="W48" s="11">
        <f t="shared" si="25"/>
        <v>0</v>
      </c>
      <c r="X48" s="11">
        <f t="shared" si="25"/>
        <v>0</v>
      </c>
    </row>
    <row r="49" spans="4:9" x14ac:dyDescent="0.25">
      <c r="D49" s="59"/>
      <c r="E49" s="59"/>
      <c r="F49" s="59"/>
      <c r="G49" s="59"/>
      <c r="H49" s="59"/>
      <c r="I49" s="59"/>
    </row>
    <row r="71" spans="1:26" x14ac:dyDescent="0.25">
      <c r="C71" s="4"/>
    </row>
    <row r="73" spans="1:26" x14ac:dyDescent="0.25">
      <c r="A73" t="s">
        <v>62</v>
      </c>
      <c r="C73" s="10">
        <f>+C39-C18+C23+C29-C37</f>
        <v>-304</v>
      </c>
      <c r="D73" s="10">
        <f t="shared" ref="D73:X73" si="26">+D39-D18+D23+D29-D37</f>
        <v>-203</v>
      </c>
      <c r="E73" s="10">
        <f t="shared" si="26"/>
        <v>-249</v>
      </c>
      <c r="F73" s="10">
        <f t="shared" si="26"/>
        <v>-178</v>
      </c>
      <c r="G73" s="10">
        <f t="shared" si="26"/>
        <v>-165</v>
      </c>
      <c r="H73" s="10">
        <f t="shared" si="26"/>
        <v>-129</v>
      </c>
      <c r="I73" s="10">
        <f t="shared" si="26"/>
        <v>-46.875</v>
      </c>
      <c r="J73" s="10">
        <f t="shared" si="26"/>
        <v>-11.304866249999897</v>
      </c>
      <c r="K73" s="10">
        <f t="shared" si="26"/>
        <v>59.401424187500155</v>
      </c>
      <c r="L73" s="10">
        <f t="shared" si="26"/>
        <v>136.86522347250036</v>
      </c>
      <c r="M73" s="10">
        <f t="shared" si="26"/>
        <v>221.5781801230271</v>
      </c>
      <c r="N73" s="10">
        <f t="shared" si="26"/>
        <v>314.06402795106379</v>
      </c>
      <c r="O73" s="10">
        <f t="shared" si="26"/>
        <v>414.88056071818579</v>
      </c>
      <c r="P73" s="10">
        <f t="shared" si="26"/>
        <v>524.62172391980505</v>
      </c>
      <c r="Q73" s="10">
        <f t="shared" si="26"/>
        <v>643.91983047093709</v>
      </c>
      <c r="R73" s="10">
        <f t="shared" si="26"/>
        <v>766.62894731941344</v>
      </c>
      <c r="S73" s="10">
        <f t="shared" si="26"/>
        <v>892.44245705539765</v>
      </c>
      <c r="T73" s="10">
        <f t="shared" si="26"/>
        <v>1028.5151929227909</v>
      </c>
      <c r="U73" s="10">
        <f t="shared" si="26"/>
        <v>1175.5495805993169</v>
      </c>
      <c r="V73" s="10">
        <f t="shared" si="26"/>
        <v>1334.2924128032282</v>
      </c>
      <c r="W73" s="10">
        <f t="shared" si="26"/>
        <v>1488.1316979105713</v>
      </c>
      <c r="X73" s="10">
        <f t="shared" si="26"/>
        <v>1630.7312402280156</v>
      </c>
      <c r="Y73" s="10"/>
      <c r="Z73" s="10"/>
    </row>
    <row r="74" spans="1:26" x14ac:dyDescent="0.25">
      <c r="A74" t="s">
        <v>63</v>
      </c>
      <c r="C74" s="90">
        <f>+C39-C73</f>
        <v>-281</v>
      </c>
      <c r="D74" s="90">
        <f t="shared" ref="D74:X74" si="27">+D39-D73</f>
        <v>-173</v>
      </c>
      <c r="E74" s="90">
        <f t="shared" si="27"/>
        <v>-45</v>
      </c>
      <c r="F74" s="90">
        <f t="shared" si="27"/>
        <v>-36</v>
      </c>
      <c r="G74" s="90">
        <f t="shared" si="27"/>
        <v>-37</v>
      </c>
      <c r="H74" s="90">
        <f t="shared" si="27"/>
        <v>-180</v>
      </c>
      <c r="I74" s="90">
        <f t="shared" si="27"/>
        <v>-89</v>
      </c>
      <c r="J74" s="90">
        <f t="shared" si="27"/>
        <v>-76.225000000000051</v>
      </c>
      <c r="K74" s="90">
        <f t="shared" si="27"/>
        <v>-63.130624999999966</v>
      </c>
      <c r="L74" s="90">
        <f t="shared" si="27"/>
        <v>-49.708890624999981</v>
      </c>
      <c r="M74" s="90">
        <f t="shared" si="27"/>
        <v>-35.951612890625029</v>
      </c>
      <c r="N74" s="90">
        <f t="shared" si="27"/>
        <v>-21.850403212890626</v>
      </c>
      <c r="O74" s="90">
        <f t="shared" si="27"/>
        <v>-7.3966632932129528</v>
      </c>
      <c r="P74" s="90">
        <f t="shared" si="27"/>
        <v>7.4184201244567021</v>
      </c>
      <c r="Q74" s="90">
        <f t="shared" si="27"/>
        <v>22.60388062756806</v>
      </c>
      <c r="R74" s="90">
        <f t="shared" si="27"/>
        <v>38.168977643257335</v>
      </c>
      <c r="S74" s="90">
        <f t="shared" si="27"/>
        <v>54.1232020843388</v>
      </c>
      <c r="T74" s="90">
        <f t="shared" si="27"/>
        <v>55.476282136447253</v>
      </c>
      <c r="U74" s="90">
        <f t="shared" si="27"/>
        <v>56.863189189858304</v>
      </c>
      <c r="V74" s="90">
        <f t="shared" si="27"/>
        <v>58.284768919604858</v>
      </c>
      <c r="W74" s="90">
        <f t="shared" si="27"/>
        <v>59.741888142594917</v>
      </c>
      <c r="X74" s="90">
        <f t="shared" si="27"/>
        <v>61.235435346159875</v>
      </c>
      <c r="Y74" s="90"/>
      <c r="Z74" s="90"/>
    </row>
    <row r="75" spans="1:26" x14ac:dyDescent="0.25">
      <c r="A75" t="s">
        <v>64</v>
      </c>
      <c r="C75" s="10">
        <f>+C73+C74</f>
        <v>-585</v>
      </c>
      <c r="D75" s="10">
        <f t="shared" ref="D75:X75" si="28">+D73+D74</f>
        <v>-376</v>
      </c>
      <c r="E75" s="10">
        <f t="shared" si="28"/>
        <v>-294</v>
      </c>
      <c r="F75" s="10">
        <f t="shared" si="28"/>
        <v>-214</v>
      </c>
      <c r="G75" s="10">
        <f t="shared" si="28"/>
        <v>-202</v>
      </c>
      <c r="H75" s="10">
        <f t="shared" si="28"/>
        <v>-309</v>
      </c>
      <c r="I75" s="10">
        <f t="shared" si="28"/>
        <v>-135.875</v>
      </c>
      <c r="J75" s="10">
        <f t="shared" si="28"/>
        <v>-87.529866249999941</v>
      </c>
      <c r="K75" s="10">
        <f t="shared" si="28"/>
        <v>-3.7292008124998119</v>
      </c>
      <c r="L75" s="10">
        <f t="shared" si="28"/>
        <v>87.15633284750038</v>
      </c>
      <c r="M75" s="10">
        <f t="shared" si="28"/>
        <v>185.62656723240207</v>
      </c>
      <c r="N75" s="10">
        <f t="shared" si="28"/>
        <v>292.21362473817317</v>
      </c>
      <c r="O75" s="10">
        <f t="shared" si="28"/>
        <v>407.48389742497284</v>
      </c>
      <c r="P75" s="10">
        <f t="shared" si="28"/>
        <v>532.04014404426175</v>
      </c>
      <c r="Q75" s="10">
        <f t="shared" si="28"/>
        <v>666.52371109850515</v>
      </c>
      <c r="R75" s="10">
        <f t="shared" si="28"/>
        <v>804.79792496267078</v>
      </c>
      <c r="S75" s="10">
        <f t="shared" si="28"/>
        <v>946.56565913973645</v>
      </c>
      <c r="T75" s="10">
        <f t="shared" si="28"/>
        <v>1083.9914750592382</v>
      </c>
      <c r="U75" s="10">
        <f t="shared" si="28"/>
        <v>1232.4127697891752</v>
      </c>
      <c r="V75" s="10">
        <f t="shared" si="28"/>
        <v>1392.5771817228331</v>
      </c>
      <c r="W75" s="10">
        <f t="shared" si="28"/>
        <v>1547.8735860531663</v>
      </c>
      <c r="X75" s="10">
        <f t="shared" si="28"/>
        <v>1691.9666755741755</v>
      </c>
      <c r="Y75" s="10"/>
      <c r="Z75" s="10"/>
    </row>
    <row r="77" spans="1:26" x14ac:dyDescent="0.25">
      <c r="A77" t="s">
        <v>65</v>
      </c>
      <c r="C77">
        <v>3638</v>
      </c>
      <c r="D77">
        <v>3445</v>
      </c>
      <c r="E77">
        <v>3277</v>
      </c>
      <c r="F77">
        <v>2814</v>
      </c>
      <c r="G77">
        <v>2312</v>
      </c>
      <c r="H77">
        <v>1676</v>
      </c>
      <c r="I77">
        <v>1159</v>
      </c>
      <c r="J77">
        <v>412</v>
      </c>
      <c r="K77">
        <v>0</v>
      </c>
    </row>
    <row r="84" spans="8:8" x14ac:dyDescent="0.25">
      <c r="H84" s="10"/>
    </row>
  </sheetData>
  <pageMargins left="0.7" right="0.7" top="0.75" bottom="0.75" header="0.3" footer="0.3"/>
  <pageSetup paperSize="17" scale="67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Z84"/>
  <sheetViews>
    <sheetView topLeftCell="A34" workbookViewId="0">
      <selection activeCell="I39" sqref="I39"/>
    </sheetView>
  </sheetViews>
  <sheetFormatPr defaultRowHeight="15" x14ac:dyDescent="0.25"/>
  <cols>
    <col min="1" max="1" width="24.5703125" customWidth="1"/>
    <col min="2" max="2" width="11.140625" customWidth="1"/>
    <col min="3" max="3" width="11.5703125" bestFit="1" customWidth="1"/>
    <col min="4" max="4" width="9.5703125" bestFit="1" customWidth="1"/>
    <col min="5" max="5" width="10.5703125" customWidth="1"/>
    <col min="6" max="6" width="10" bestFit="1" customWidth="1"/>
    <col min="7" max="7" width="9.42578125" bestFit="1" customWidth="1"/>
    <col min="8" max="24" width="8.5703125" customWidth="1"/>
  </cols>
  <sheetData>
    <row r="1" spans="1:25" ht="18" customHeight="1" x14ac:dyDescent="0.35">
      <c r="A1" s="19" t="s">
        <v>22</v>
      </c>
      <c r="D1" s="50"/>
      <c r="I1" s="58"/>
    </row>
    <row r="2" spans="1:25" ht="14.45" x14ac:dyDescent="0.35">
      <c r="A2" s="20" t="s">
        <v>67</v>
      </c>
      <c r="G2" s="10"/>
      <c r="H2" s="79"/>
      <c r="I2" s="79" t="s">
        <v>66</v>
      </c>
      <c r="J2" s="79" t="s">
        <v>57</v>
      </c>
    </row>
    <row r="3" spans="1:25" ht="14.45" x14ac:dyDescent="0.35">
      <c r="A3" t="s">
        <v>28</v>
      </c>
      <c r="C3" s="14">
        <v>2009</v>
      </c>
      <c r="D3" s="14">
        <v>2010</v>
      </c>
      <c r="E3" s="14">
        <v>2011</v>
      </c>
      <c r="F3" s="14">
        <v>2012</v>
      </c>
      <c r="G3" s="14">
        <f t="shared" ref="G3:V3" si="0">+F3+1</f>
        <v>2013</v>
      </c>
      <c r="H3" s="14">
        <f t="shared" si="0"/>
        <v>2014</v>
      </c>
      <c r="I3" s="64">
        <f t="shared" si="0"/>
        <v>2015</v>
      </c>
      <c r="J3" s="27">
        <f t="shared" si="0"/>
        <v>2016</v>
      </c>
      <c r="K3" s="14">
        <f t="shared" si="0"/>
        <v>2017</v>
      </c>
      <c r="L3" s="14">
        <f t="shared" si="0"/>
        <v>2018</v>
      </c>
      <c r="M3" s="14">
        <f t="shared" si="0"/>
        <v>2019</v>
      </c>
      <c r="N3" s="14">
        <f t="shared" si="0"/>
        <v>2020</v>
      </c>
      <c r="O3" s="14">
        <f t="shared" si="0"/>
        <v>2021</v>
      </c>
      <c r="P3" s="14">
        <f t="shared" si="0"/>
        <v>2022</v>
      </c>
      <c r="Q3" s="14">
        <f t="shared" si="0"/>
        <v>2023</v>
      </c>
      <c r="R3" s="14">
        <f t="shared" si="0"/>
        <v>2024</v>
      </c>
      <c r="S3" s="14">
        <f t="shared" si="0"/>
        <v>2025</v>
      </c>
      <c r="T3" s="14">
        <f t="shared" si="0"/>
        <v>2026</v>
      </c>
      <c r="U3" s="14">
        <f t="shared" si="0"/>
        <v>2027</v>
      </c>
      <c r="V3" s="14">
        <f t="shared" si="0"/>
        <v>2028</v>
      </c>
      <c r="W3" s="14">
        <f>+V3+1</f>
        <v>2029</v>
      </c>
      <c r="X3" s="14">
        <f>+W3+1</f>
        <v>2030</v>
      </c>
    </row>
    <row r="4" spans="1:25" ht="14.45" x14ac:dyDescent="0.35">
      <c r="I4" s="65"/>
      <c r="J4" s="21"/>
    </row>
    <row r="5" spans="1:25" ht="14.45" x14ac:dyDescent="0.35">
      <c r="A5" s="1" t="s">
        <v>50</v>
      </c>
      <c r="C5">
        <v>332</v>
      </c>
      <c r="D5">
        <f>+C5+D6</f>
        <v>379</v>
      </c>
      <c r="E5">
        <f t="shared" ref="E5:X5" si="1">+D5+E6</f>
        <v>424</v>
      </c>
      <c r="F5">
        <f t="shared" si="1"/>
        <v>468</v>
      </c>
      <c r="G5">
        <f t="shared" si="1"/>
        <v>510</v>
      </c>
      <c r="H5">
        <f t="shared" si="1"/>
        <v>544</v>
      </c>
      <c r="I5" s="65">
        <f t="shared" si="1"/>
        <v>581</v>
      </c>
      <c r="J5" s="21">
        <f t="shared" si="1"/>
        <v>629</v>
      </c>
      <c r="K5">
        <f t="shared" si="1"/>
        <v>671</v>
      </c>
      <c r="L5">
        <f t="shared" si="1"/>
        <v>713</v>
      </c>
      <c r="M5">
        <f t="shared" si="1"/>
        <v>755</v>
      </c>
      <c r="N5">
        <f t="shared" si="1"/>
        <v>797</v>
      </c>
      <c r="O5">
        <f t="shared" si="1"/>
        <v>839</v>
      </c>
      <c r="P5">
        <f t="shared" si="1"/>
        <v>881</v>
      </c>
      <c r="Q5">
        <f t="shared" si="1"/>
        <v>923</v>
      </c>
      <c r="R5">
        <f t="shared" si="1"/>
        <v>965</v>
      </c>
      <c r="S5">
        <f t="shared" si="1"/>
        <v>1007</v>
      </c>
      <c r="T5">
        <f t="shared" si="1"/>
        <v>1049</v>
      </c>
      <c r="U5">
        <f t="shared" si="1"/>
        <v>1091</v>
      </c>
      <c r="V5">
        <f t="shared" si="1"/>
        <v>1133</v>
      </c>
      <c r="W5">
        <f t="shared" si="1"/>
        <v>1175</v>
      </c>
      <c r="X5">
        <f t="shared" si="1"/>
        <v>1217</v>
      </c>
    </row>
    <row r="6" spans="1:25" ht="14.45" x14ac:dyDescent="0.35">
      <c r="A6" s="1" t="s">
        <v>68</v>
      </c>
      <c r="D6" s="3">
        <v>47</v>
      </c>
      <c r="E6" s="3">
        <v>45</v>
      </c>
      <c r="F6" s="3">
        <v>44</v>
      </c>
      <c r="G6" s="3">
        <v>42</v>
      </c>
      <c r="H6" s="3">
        <v>34</v>
      </c>
      <c r="I6" s="66">
        <v>37</v>
      </c>
      <c r="J6" s="28">
        <v>48</v>
      </c>
      <c r="K6" s="3">
        <v>42</v>
      </c>
      <c r="L6" s="3">
        <v>42</v>
      </c>
      <c r="M6" s="3">
        <v>42</v>
      </c>
      <c r="N6" s="3">
        <v>42</v>
      </c>
      <c r="O6" s="3">
        <v>42</v>
      </c>
      <c r="P6" s="3">
        <v>42</v>
      </c>
      <c r="Q6" s="3">
        <v>42</v>
      </c>
      <c r="R6" s="3">
        <v>42</v>
      </c>
      <c r="S6" s="3">
        <v>42</v>
      </c>
      <c r="T6" s="3">
        <v>42</v>
      </c>
      <c r="U6" s="3">
        <v>42</v>
      </c>
      <c r="V6" s="3">
        <v>42</v>
      </c>
      <c r="W6" s="3">
        <v>42</v>
      </c>
      <c r="X6" s="3">
        <v>42</v>
      </c>
      <c r="Y6" s="2"/>
    </row>
    <row r="7" spans="1:25" ht="14.45" x14ac:dyDescent="0.35">
      <c r="A7" t="s">
        <v>32</v>
      </c>
      <c r="D7" s="33">
        <f>+D8/C8-1</f>
        <v>9.8654708520179435E-2</v>
      </c>
      <c r="E7" s="33">
        <v>0</v>
      </c>
      <c r="F7" s="33">
        <v>0.05</v>
      </c>
      <c r="G7" s="33">
        <v>0.05</v>
      </c>
      <c r="H7" s="91">
        <f t="shared" ref="H7:X7" si="2">+G7</f>
        <v>0.05</v>
      </c>
      <c r="I7" s="67">
        <f t="shared" si="2"/>
        <v>0.05</v>
      </c>
      <c r="J7" s="53">
        <f t="shared" si="2"/>
        <v>0.05</v>
      </c>
      <c r="K7" s="26">
        <f t="shared" si="2"/>
        <v>0.05</v>
      </c>
      <c r="L7" s="26">
        <f t="shared" si="2"/>
        <v>0.05</v>
      </c>
      <c r="M7" s="26">
        <f t="shared" si="2"/>
        <v>0.05</v>
      </c>
      <c r="N7" s="26">
        <f t="shared" si="2"/>
        <v>0.05</v>
      </c>
      <c r="O7" s="26">
        <f t="shared" si="2"/>
        <v>0.05</v>
      </c>
      <c r="P7" s="26">
        <v>0.05</v>
      </c>
      <c r="Q7" s="26">
        <f t="shared" si="2"/>
        <v>0.05</v>
      </c>
      <c r="R7" s="26">
        <f t="shared" si="2"/>
        <v>0.05</v>
      </c>
      <c r="S7" s="26">
        <f t="shared" si="2"/>
        <v>0.05</v>
      </c>
      <c r="T7" s="26">
        <f t="shared" si="2"/>
        <v>0.05</v>
      </c>
      <c r="U7" s="26">
        <f t="shared" si="2"/>
        <v>0.05</v>
      </c>
      <c r="V7" s="26">
        <f t="shared" si="2"/>
        <v>0.05</v>
      </c>
      <c r="W7" s="26">
        <f t="shared" si="2"/>
        <v>0.05</v>
      </c>
      <c r="X7" s="26">
        <f t="shared" si="2"/>
        <v>0.05</v>
      </c>
      <c r="Y7" s="2"/>
    </row>
    <row r="8" spans="1:25" ht="14.45" x14ac:dyDescent="0.35">
      <c r="A8" t="s">
        <v>3</v>
      </c>
      <c r="C8" s="3">
        <f>55.75*12</f>
        <v>669</v>
      </c>
      <c r="D8" s="3">
        <v>735</v>
      </c>
      <c r="E8" s="3">
        <v>735</v>
      </c>
      <c r="F8" s="3">
        <v>772</v>
      </c>
      <c r="G8" s="3">
        <v>810</v>
      </c>
      <c r="H8" s="43">
        <v>850</v>
      </c>
      <c r="I8" s="68">
        <f t="shared" ref="I8:X8" si="3">+H8*(1+I7)</f>
        <v>892.5</v>
      </c>
      <c r="J8" s="24">
        <f t="shared" si="3"/>
        <v>937.125</v>
      </c>
      <c r="K8" s="4">
        <f t="shared" si="3"/>
        <v>983.98125000000005</v>
      </c>
      <c r="L8" s="4">
        <f t="shared" si="3"/>
        <v>1033.1803125000001</v>
      </c>
      <c r="M8" s="4">
        <f t="shared" si="3"/>
        <v>1084.8393281250003</v>
      </c>
      <c r="N8" s="4">
        <f t="shared" si="3"/>
        <v>1139.0812945312503</v>
      </c>
      <c r="O8" s="4">
        <f t="shared" si="3"/>
        <v>1196.0353592578128</v>
      </c>
      <c r="P8" s="4">
        <f t="shared" si="3"/>
        <v>1255.8371272207035</v>
      </c>
      <c r="Q8" s="4">
        <f t="shared" si="3"/>
        <v>1318.6289835817386</v>
      </c>
      <c r="R8" s="4">
        <f t="shared" si="3"/>
        <v>1384.5604327608255</v>
      </c>
      <c r="S8" s="4">
        <f t="shared" si="3"/>
        <v>1453.7884543988669</v>
      </c>
      <c r="T8" s="4">
        <f t="shared" si="3"/>
        <v>1526.4778771188103</v>
      </c>
      <c r="U8" s="4">
        <f t="shared" si="3"/>
        <v>1602.8017709747508</v>
      </c>
      <c r="V8" s="4">
        <f t="shared" si="3"/>
        <v>1682.9418595234883</v>
      </c>
      <c r="W8" s="4">
        <f t="shared" si="3"/>
        <v>1767.0889524996628</v>
      </c>
      <c r="X8" s="4">
        <f t="shared" si="3"/>
        <v>1855.4434001246461</v>
      </c>
    </row>
    <row r="9" spans="1:25" ht="14.45" x14ac:dyDescent="0.35">
      <c r="A9" t="s">
        <v>4</v>
      </c>
      <c r="E9" s="44"/>
      <c r="F9" s="51"/>
      <c r="G9" s="44"/>
      <c r="H9" s="44"/>
      <c r="I9" s="69">
        <v>2.5000000000000001E-2</v>
      </c>
      <c r="J9" s="47">
        <f t="shared" ref="J9:X9" si="4">+I9</f>
        <v>2.5000000000000001E-2</v>
      </c>
      <c r="K9" s="17">
        <f t="shared" si="4"/>
        <v>2.5000000000000001E-2</v>
      </c>
      <c r="L9" s="17">
        <f t="shared" si="4"/>
        <v>2.5000000000000001E-2</v>
      </c>
      <c r="M9" s="17">
        <f t="shared" si="4"/>
        <v>2.5000000000000001E-2</v>
      </c>
      <c r="N9" s="17">
        <f t="shared" si="4"/>
        <v>2.5000000000000001E-2</v>
      </c>
      <c r="O9" s="17">
        <f t="shared" si="4"/>
        <v>2.5000000000000001E-2</v>
      </c>
      <c r="P9" s="17">
        <f t="shared" si="4"/>
        <v>2.5000000000000001E-2</v>
      </c>
      <c r="Q9" s="17">
        <f t="shared" si="4"/>
        <v>2.5000000000000001E-2</v>
      </c>
      <c r="R9" s="17">
        <f t="shared" si="4"/>
        <v>2.5000000000000001E-2</v>
      </c>
      <c r="S9" s="17">
        <f t="shared" si="4"/>
        <v>2.5000000000000001E-2</v>
      </c>
      <c r="T9" s="17">
        <f t="shared" si="4"/>
        <v>2.5000000000000001E-2</v>
      </c>
      <c r="U9" s="17">
        <f t="shared" si="4"/>
        <v>2.5000000000000001E-2</v>
      </c>
      <c r="V9" s="17">
        <f t="shared" si="4"/>
        <v>2.5000000000000001E-2</v>
      </c>
      <c r="W9" s="17">
        <f t="shared" si="4"/>
        <v>2.5000000000000001E-2</v>
      </c>
      <c r="X9" s="17">
        <f t="shared" si="4"/>
        <v>2.5000000000000001E-2</v>
      </c>
    </row>
    <row r="10" spans="1:25" ht="14.45" x14ac:dyDescent="0.35">
      <c r="A10" t="s">
        <v>24</v>
      </c>
      <c r="E10" s="45"/>
      <c r="F10" s="45"/>
      <c r="G10" s="45"/>
      <c r="H10" s="45"/>
      <c r="I10" s="70"/>
      <c r="J10" s="37"/>
      <c r="K10" s="16">
        <v>53</v>
      </c>
      <c r="L10" s="16">
        <v>53</v>
      </c>
      <c r="M10" s="16">
        <v>53</v>
      </c>
      <c r="N10" s="16">
        <v>53</v>
      </c>
      <c r="O10" s="16">
        <v>0</v>
      </c>
      <c r="P10" s="16">
        <v>0</v>
      </c>
      <c r="Q10" s="16">
        <v>0</v>
      </c>
      <c r="R10" s="16">
        <v>0</v>
      </c>
      <c r="S10" s="16">
        <v>0</v>
      </c>
      <c r="T10" s="16">
        <v>0</v>
      </c>
      <c r="U10" s="16">
        <v>0</v>
      </c>
      <c r="V10" s="16">
        <v>0</v>
      </c>
      <c r="W10" s="16">
        <v>0</v>
      </c>
      <c r="X10" s="16">
        <v>0</v>
      </c>
    </row>
    <row r="11" spans="1:25" ht="14.45" x14ac:dyDescent="0.35">
      <c r="A11" t="s">
        <v>25</v>
      </c>
      <c r="D11" s="18">
        <v>4.2500000000000003E-2</v>
      </c>
      <c r="E11" s="46">
        <v>4.2500000000000003E-2</v>
      </c>
      <c r="F11" s="46">
        <v>4.2500000000000003E-2</v>
      </c>
      <c r="G11" s="62">
        <v>3.2500000000000001E-2</v>
      </c>
      <c r="H11" s="62">
        <v>3.2500000000000001E-2</v>
      </c>
      <c r="I11" s="71">
        <v>3.2500000000000001E-2</v>
      </c>
      <c r="J11" s="38">
        <v>3.2500000000000001E-2</v>
      </c>
      <c r="K11" s="18">
        <v>3.2500000000000001E-2</v>
      </c>
      <c r="L11" s="18">
        <v>3.2500000000000001E-2</v>
      </c>
      <c r="M11" s="18">
        <v>3.2500000000000001E-2</v>
      </c>
      <c r="N11" s="18">
        <v>3.2500000000000001E-2</v>
      </c>
      <c r="O11" s="18">
        <v>3.2500000000000001E-2</v>
      </c>
      <c r="P11" s="18">
        <v>3.2500000000000001E-2</v>
      </c>
      <c r="Q11" s="18">
        <v>3.2500000000000001E-2</v>
      </c>
      <c r="R11" s="18">
        <v>3.2500000000000001E-2</v>
      </c>
      <c r="S11" s="18">
        <v>3.2500000000000001E-2</v>
      </c>
      <c r="T11" s="18">
        <v>3.2500000000000001E-2</v>
      </c>
      <c r="U11" s="18">
        <v>3.2500000000000001E-2</v>
      </c>
      <c r="V11" s="18">
        <v>3.2500000000000001E-2</v>
      </c>
      <c r="W11" s="18">
        <v>3.2500000000000001E-2</v>
      </c>
      <c r="X11" s="18">
        <v>3.2500000000000001E-2</v>
      </c>
    </row>
    <row r="12" spans="1:25" x14ac:dyDescent="0.25">
      <c r="I12" s="65"/>
      <c r="J12" s="21"/>
    </row>
    <row r="13" spans="1:25" x14ac:dyDescent="0.25">
      <c r="A13" s="7" t="s">
        <v>41</v>
      </c>
      <c r="I13" s="96"/>
      <c r="J13" s="21"/>
    </row>
    <row r="14" spans="1:25" x14ac:dyDescent="0.25">
      <c r="A14" t="s">
        <v>2</v>
      </c>
      <c r="C14" s="3">
        <v>214</v>
      </c>
      <c r="D14" s="3">
        <v>267</v>
      </c>
      <c r="E14" s="3">
        <v>297</v>
      </c>
      <c r="F14" s="34">
        <v>348</v>
      </c>
      <c r="G14" s="34">
        <v>398</v>
      </c>
      <c r="H14" s="34">
        <v>447</v>
      </c>
      <c r="I14" s="66">
        <v>506</v>
      </c>
      <c r="J14" s="24">
        <f t="shared" ref="J14:X14" si="5">+(J5+I5)/2*J8/1000</f>
        <v>566.96062500000005</v>
      </c>
      <c r="K14" s="4">
        <f t="shared" si="5"/>
        <v>639.58781250000004</v>
      </c>
      <c r="L14" s="4">
        <f t="shared" si="5"/>
        <v>714.96077625000009</v>
      </c>
      <c r="M14" s="4">
        <f t="shared" si="5"/>
        <v>796.27206684375017</v>
      </c>
      <c r="N14" s="4">
        <f t="shared" si="5"/>
        <v>883.92708455625029</v>
      </c>
      <c r="O14" s="4">
        <f t="shared" si="5"/>
        <v>978.35692387289089</v>
      </c>
      <c r="P14" s="4">
        <f t="shared" si="5"/>
        <v>1080.0199294098049</v>
      </c>
      <c r="Q14" s="4">
        <f t="shared" si="5"/>
        <v>1189.4033431907283</v>
      </c>
      <c r="R14" s="4">
        <f t="shared" si="5"/>
        <v>1307.0250485262193</v>
      </c>
      <c r="S14" s="4">
        <f t="shared" si="5"/>
        <v>1433.4354160372827</v>
      </c>
      <c r="T14" s="4">
        <f t="shared" si="5"/>
        <v>1569.219257678137</v>
      </c>
      <c r="U14" s="4">
        <f t="shared" si="5"/>
        <v>1714.9978949429833</v>
      </c>
      <c r="V14" s="4">
        <f t="shared" si="5"/>
        <v>1871.4313477901189</v>
      </c>
      <c r="W14" s="4">
        <f t="shared" si="5"/>
        <v>2039.2206511846107</v>
      </c>
      <c r="X14" s="4">
        <f t="shared" si="5"/>
        <v>2219.110306549077</v>
      </c>
    </row>
    <row r="15" spans="1:25" x14ac:dyDescent="0.25">
      <c r="A15" t="s">
        <v>5</v>
      </c>
      <c r="C15" s="3">
        <v>5</v>
      </c>
      <c r="D15" s="3">
        <v>5</v>
      </c>
      <c r="E15" s="3">
        <v>5</v>
      </c>
      <c r="F15" s="34">
        <v>5</v>
      </c>
      <c r="G15" s="34">
        <v>5</v>
      </c>
      <c r="H15" s="34">
        <v>5</v>
      </c>
      <c r="I15" s="66">
        <v>5</v>
      </c>
      <c r="J15" s="24">
        <f t="shared" ref="J15:X16" si="6">+I15*(1+J$9)</f>
        <v>5.125</v>
      </c>
      <c r="K15" s="4">
        <f t="shared" si="6"/>
        <v>5.2531249999999998</v>
      </c>
      <c r="L15" s="4">
        <f t="shared" ref="L15:L16" si="7">+K15*(1+L$9)</f>
        <v>5.3844531249999994</v>
      </c>
      <c r="M15" s="4">
        <f t="shared" ref="M15:M16" si="8">+L15*(1+M$9)</f>
        <v>5.519064453124999</v>
      </c>
      <c r="N15" s="4">
        <f t="shared" ref="N15:N16" si="9">+M15*(1+N$9)</f>
        <v>5.6570410644531233</v>
      </c>
      <c r="O15" s="4">
        <f t="shared" ref="O15:O16" si="10">+N15*(1+O$9)</f>
        <v>5.7984670910644507</v>
      </c>
      <c r="P15" s="4">
        <f t="shared" ref="P15:P16" si="11">+O15*(1+P$9)</f>
        <v>5.9434287683410618</v>
      </c>
      <c r="Q15" s="4">
        <f t="shared" si="6"/>
        <v>6.0920144875495881</v>
      </c>
      <c r="R15" s="4">
        <f t="shared" si="6"/>
        <v>6.244314849738327</v>
      </c>
      <c r="S15" s="4">
        <f t="shared" si="6"/>
        <v>6.4004227209817843</v>
      </c>
      <c r="T15" s="4">
        <f t="shared" si="6"/>
        <v>6.5604332890063279</v>
      </c>
      <c r="U15" s="4">
        <f t="shared" si="6"/>
        <v>6.7244441212314854</v>
      </c>
      <c r="V15" s="4">
        <f t="shared" si="6"/>
        <v>6.8925552242622716</v>
      </c>
      <c r="W15" s="4">
        <f t="shared" si="6"/>
        <v>7.0648691048688281</v>
      </c>
      <c r="X15" s="4">
        <f t="shared" si="6"/>
        <v>7.2414908324905483</v>
      </c>
    </row>
    <row r="16" spans="1:25" x14ac:dyDescent="0.25">
      <c r="A16" t="s">
        <v>39</v>
      </c>
      <c r="C16" s="3">
        <v>4</v>
      </c>
      <c r="D16" s="3">
        <v>3</v>
      </c>
      <c r="E16" s="3">
        <v>20</v>
      </c>
      <c r="F16" s="34">
        <v>5</v>
      </c>
      <c r="G16" s="34">
        <v>5</v>
      </c>
      <c r="H16" s="34">
        <v>5</v>
      </c>
      <c r="I16" s="66">
        <v>13</v>
      </c>
      <c r="J16" s="24">
        <v>4</v>
      </c>
      <c r="K16" s="4">
        <f t="shared" si="6"/>
        <v>4.0999999999999996</v>
      </c>
      <c r="L16" s="4">
        <f t="shared" si="7"/>
        <v>4.2024999999999997</v>
      </c>
      <c r="M16" s="4">
        <f t="shared" si="8"/>
        <v>4.3075624999999995</v>
      </c>
      <c r="N16" s="4">
        <f t="shared" si="9"/>
        <v>4.4152515624999991</v>
      </c>
      <c r="O16" s="4">
        <f t="shared" si="10"/>
        <v>4.5256328515624986</v>
      </c>
      <c r="P16" s="4">
        <f t="shared" si="11"/>
        <v>4.6387736728515607</v>
      </c>
      <c r="Q16" s="4">
        <f t="shared" si="6"/>
        <v>4.7547430146728491</v>
      </c>
      <c r="R16" s="4">
        <f t="shared" si="6"/>
        <v>4.8736115900396699</v>
      </c>
      <c r="S16" s="4">
        <f t="shared" si="6"/>
        <v>4.9954518797906609</v>
      </c>
      <c r="T16" s="4">
        <f t="shared" si="6"/>
        <v>5.1203381767854266</v>
      </c>
      <c r="U16" s="4">
        <f t="shared" si="6"/>
        <v>5.2483466312050622</v>
      </c>
      <c r="V16" s="4">
        <f t="shared" si="6"/>
        <v>5.3795552969851883</v>
      </c>
      <c r="W16" s="4">
        <f t="shared" si="6"/>
        <v>5.5140441794098178</v>
      </c>
      <c r="X16" s="4">
        <f t="shared" si="6"/>
        <v>5.6518952838950627</v>
      </c>
    </row>
    <row r="17" spans="1:25" x14ac:dyDescent="0.25">
      <c r="A17" t="s">
        <v>6</v>
      </c>
      <c r="C17" s="34">
        <v>0</v>
      </c>
      <c r="D17" s="34">
        <v>0</v>
      </c>
      <c r="E17" s="34">
        <v>0</v>
      </c>
      <c r="F17" s="34">
        <v>0</v>
      </c>
      <c r="G17" s="34">
        <v>0</v>
      </c>
      <c r="H17" s="95">
        <v>0</v>
      </c>
      <c r="I17" s="66">
        <v>0</v>
      </c>
      <c r="J17" s="24">
        <v>0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4">
        <v>0</v>
      </c>
      <c r="R17" s="4">
        <v>0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</row>
    <row r="18" spans="1:25" x14ac:dyDescent="0.25">
      <c r="A18" t="s">
        <v>12</v>
      </c>
      <c r="C18" s="3">
        <f>940-77-359</f>
        <v>504</v>
      </c>
      <c r="D18" s="3">
        <v>580</v>
      </c>
      <c r="E18" s="3">
        <v>672</v>
      </c>
      <c r="F18" s="52">
        <v>696</v>
      </c>
      <c r="G18" s="52">
        <v>717</v>
      </c>
      <c r="H18" s="8">
        <v>669</v>
      </c>
      <c r="I18" s="72">
        <v>592</v>
      </c>
      <c r="J18" s="39">
        <v>622</v>
      </c>
      <c r="K18" s="10">
        <f t="shared" ref="K18:X18" si="12">+J18*(1+K9)+K10</f>
        <v>690.55</v>
      </c>
      <c r="L18" s="10">
        <f t="shared" si="12"/>
        <v>760.81374999999991</v>
      </c>
      <c r="M18" s="10">
        <f t="shared" si="12"/>
        <v>832.83409374999985</v>
      </c>
      <c r="N18" s="10">
        <f t="shared" si="12"/>
        <v>906.6549460937498</v>
      </c>
      <c r="O18" s="10">
        <f t="shared" si="12"/>
        <v>929.32131974609342</v>
      </c>
      <c r="P18" s="10">
        <f t="shared" si="12"/>
        <v>952.5543527397457</v>
      </c>
      <c r="Q18" s="10">
        <f t="shared" si="12"/>
        <v>976.3682115582393</v>
      </c>
      <c r="R18" s="10">
        <f t="shared" si="12"/>
        <v>1000.7774168471952</v>
      </c>
      <c r="S18" s="10">
        <f t="shared" si="12"/>
        <v>1025.796852268375</v>
      </c>
      <c r="T18" s="10">
        <f t="shared" si="12"/>
        <v>1051.4417735750842</v>
      </c>
      <c r="U18" s="10">
        <f t="shared" si="12"/>
        <v>1077.7278179144612</v>
      </c>
      <c r="V18" s="10">
        <f t="shared" si="12"/>
        <v>1104.6710133623226</v>
      </c>
      <c r="W18" s="10">
        <f t="shared" si="12"/>
        <v>1132.2877886963806</v>
      </c>
      <c r="X18" s="10">
        <f t="shared" si="12"/>
        <v>1160.59498341379</v>
      </c>
      <c r="Y18" s="10"/>
    </row>
    <row r="19" spans="1:25" x14ac:dyDescent="0.25">
      <c r="A19" s="6" t="s">
        <v>43</v>
      </c>
      <c r="C19" s="13">
        <f>SUM(C14:C18)</f>
        <v>727</v>
      </c>
      <c r="D19" s="35">
        <f t="shared" ref="D19:X19" si="13">SUM(D14:D18)</f>
        <v>855</v>
      </c>
      <c r="E19" s="35">
        <f t="shared" si="13"/>
        <v>994</v>
      </c>
      <c r="F19" s="35">
        <f t="shared" si="13"/>
        <v>1054</v>
      </c>
      <c r="G19" s="35">
        <f t="shared" si="13"/>
        <v>1125</v>
      </c>
      <c r="H19" s="35">
        <f t="shared" si="13"/>
        <v>1126</v>
      </c>
      <c r="I19" s="74">
        <f t="shared" si="13"/>
        <v>1116</v>
      </c>
      <c r="J19" s="29">
        <f t="shared" si="13"/>
        <v>1198.0856250000002</v>
      </c>
      <c r="K19" s="13">
        <f t="shared" si="13"/>
        <v>1339.4909375</v>
      </c>
      <c r="L19" s="13">
        <f t="shared" si="13"/>
        <v>1485.361479375</v>
      </c>
      <c r="M19" s="13">
        <f t="shared" si="13"/>
        <v>1638.932787546875</v>
      </c>
      <c r="N19" s="13">
        <f t="shared" si="13"/>
        <v>1800.6543232769532</v>
      </c>
      <c r="O19" s="13">
        <f t="shared" si="13"/>
        <v>1918.0023435616113</v>
      </c>
      <c r="P19" s="13">
        <f t="shared" si="13"/>
        <v>2043.1564845907433</v>
      </c>
      <c r="Q19" s="13">
        <f t="shared" si="13"/>
        <v>2176.6183122511898</v>
      </c>
      <c r="R19" s="13">
        <f t="shared" si="13"/>
        <v>2318.9203918131925</v>
      </c>
      <c r="S19" s="13">
        <f t="shared" si="13"/>
        <v>2470.6281429064302</v>
      </c>
      <c r="T19" s="13">
        <f t="shared" si="13"/>
        <v>2632.3418027190128</v>
      </c>
      <c r="U19" s="13">
        <f t="shared" si="13"/>
        <v>2804.6985036098813</v>
      </c>
      <c r="V19" s="13">
        <f t="shared" si="13"/>
        <v>2988.3744716736892</v>
      </c>
      <c r="W19" s="13">
        <f t="shared" si="13"/>
        <v>3184.0873531652701</v>
      </c>
      <c r="X19" s="13">
        <f t="shared" si="13"/>
        <v>3392.5986760792525</v>
      </c>
    </row>
    <row r="20" spans="1:25" x14ac:dyDescent="0.25">
      <c r="A20" s="56" t="s">
        <v>53</v>
      </c>
      <c r="D20" s="55">
        <f>+D19/C19-1</f>
        <v>0.17606602475928468</v>
      </c>
      <c r="E20" s="55">
        <f t="shared" ref="E20:X20" si="14">+E19/D19-1</f>
        <v>0.16257309941520459</v>
      </c>
      <c r="F20" s="55">
        <f t="shared" si="14"/>
        <v>6.0362173038229328E-2</v>
      </c>
      <c r="G20" s="55">
        <f t="shared" si="14"/>
        <v>6.7362428842504762E-2</v>
      </c>
      <c r="H20" s="55">
        <f t="shared" si="14"/>
        <v>8.8888888888893902E-4</v>
      </c>
      <c r="I20" s="75">
        <f t="shared" si="14"/>
        <v>-8.8809946714032417E-3</v>
      </c>
      <c r="J20" s="57">
        <f t="shared" si="14"/>
        <v>7.3553427419355E-2</v>
      </c>
      <c r="K20" s="55">
        <f t="shared" si="14"/>
        <v>0.11802604884771895</v>
      </c>
      <c r="L20" s="55">
        <f t="shared" si="14"/>
        <v>0.10889998415909408</v>
      </c>
      <c r="M20" s="55">
        <f t="shared" si="14"/>
        <v>0.10338985513243126</v>
      </c>
      <c r="N20" s="55">
        <f t="shared" si="14"/>
        <v>9.8674904156466292E-2</v>
      </c>
      <c r="O20" s="55">
        <f t="shared" si="14"/>
        <v>6.51696545903937E-2</v>
      </c>
      <c r="P20" s="55">
        <f t="shared" si="14"/>
        <v>6.5252339992832642E-2</v>
      </c>
      <c r="Q20" s="55">
        <f t="shared" si="14"/>
        <v>6.5321392985314919E-2</v>
      </c>
      <c r="R20" s="55">
        <f t="shared" si="14"/>
        <v>6.5377599168880085E-2</v>
      </c>
      <c r="S20" s="55">
        <f t="shared" si="14"/>
        <v>6.5421715910918055E-2</v>
      </c>
      <c r="T20" s="55">
        <f t="shared" si="14"/>
        <v>6.5454471680365334E-2</v>
      </c>
      <c r="U20" s="55">
        <f t="shared" si="14"/>
        <v>6.5476565662117681E-2</v>
      </c>
      <c r="V20" s="55">
        <f t="shared" si="14"/>
        <v>6.5488667615218432E-2</v>
      </c>
      <c r="W20" s="55">
        <f t="shared" si="14"/>
        <v>6.5491417941998531E-2</v>
      </c>
      <c r="X20" s="55">
        <f t="shared" si="14"/>
        <v>6.5485427937993945E-2</v>
      </c>
    </row>
    <row r="21" spans="1:25" x14ac:dyDescent="0.25">
      <c r="A21" s="7" t="s">
        <v>44</v>
      </c>
      <c r="I21" s="65"/>
      <c r="J21" s="21"/>
    </row>
    <row r="22" spans="1:25" x14ac:dyDescent="0.25">
      <c r="A22" t="s">
        <v>40</v>
      </c>
      <c r="C22" s="8">
        <f>508-178+42</f>
        <v>372</v>
      </c>
      <c r="D22" s="8">
        <v>347</v>
      </c>
      <c r="E22" s="8">
        <f>563-229+46</f>
        <v>380</v>
      </c>
      <c r="F22" s="8">
        <f>589-252+43</f>
        <v>380</v>
      </c>
      <c r="G22" s="8">
        <f>45+565-207</f>
        <v>403</v>
      </c>
      <c r="H22" s="8">
        <f>598-221+48</f>
        <v>425</v>
      </c>
      <c r="I22" s="92">
        <f>440+51</f>
        <v>491</v>
      </c>
      <c r="J22" s="40">
        <f>568-250+55</f>
        <v>373</v>
      </c>
      <c r="K22" s="9">
        <f t="shared" ref="K22:X23" si="15">+J22*(1+K$9)</f>
        <v>382.32499999999999</v>
      </c>
      <c r="L22" s="9">
        <f t="shared" si="15"/>
        <v>391.88312499999995</v>
      </c>
      <c r="M22" s="9">
        <f t="shared" si="15"/>
        <v>401.68020312499993</v>
      </c>
      <c r="N22" s="9">
        <f t="shared" si="15"/>
        <v>411.72220820312492</v>
      </c>
      <c r="O22" s="9">
        <f t="shared" si="15"/>
        <v>422.015263408203</v>
      </c>
      <c r="P22" s="9">
        <f t="shared" si="15"/>
        <v>432.56564499340806</v>
      </c>
      <c r="Q22" s="9">
        <f t="shared" si="15"/>
        <v>443.3797861182432</v>
      </c>
      <c r="R22" s="9">
        <f t="shared" si="15"/>
        <v>454.46428077119924</v>
      </c>
      <c r="S22" s="9">
        <f t="shared" si="15"/>
        <v>465.82588779047916</v>
      </c>
      <c r="T22" s="9">
        <f t="shared" si="15"/>
        <v>477.47153498524108</v>
      </c>
      <c r="U22" s="9">
        <f t="shared" si="15"/>
        <v>489.40832335987204</v>
      </c>
      <c r="V22" s="9">
        <f t="shared" si="15"/>
        <v>501.64353144386882</v>
      </c>
      <c r="W22" s="9">
        <f t="shared" si="15"/>
        <v>514.18461972996545</v>
      </c>
      <c r="X22" s="9">
        <f t="shared" si="15"/>
        <v>527.03923522321452</v>
      </c>
    </row>
    <row r="23" spans="1:25" x14ac:dyDescent="0.25">
      <c r="A23" t="s">
        <v>8</v>
      </c>
      <c r="C23" s="8">
        <v>772</v>
      </c>
      <c r="D23" s="8">
        <v>733</v>
      </c>
      <c r="E23" s="8">
        <v>698</v>
      </c>
      <c r="F23" s="8">
        <v>729</v>
      </c>
      <c r="G23" s="8">
        <v>748</v>
      </c>
      <c r="H23" s="8">
        <v>731</v>
      </c>
      <c r="I23" s="92">
        <v>723</v>
      </c>
      <c r="J23" s="40">
        <v>780</v>
      </c>
      <c r="K23" s="9">
        <f t="shared" si="15"/>
        <v>799.49999999999989</v>
      </c>
      <c r="L23" s="9">
        <f t="shared" si="15"/>
        <v>819.48749999999984</v>
      </c>
      <c r="M23" s="9">
        <f t="shared" si="15"/>
        <v>839.97468749999973</v>
      </c>
      <c r="N23" s="9">
        <f t="shared" si="15"/>
        <v>860.97405468749969</v>
      </c>
      <c r="O23" s="9">
        <f t="shared" si="15"/>
        <v>882.49840605468705</v>
      </c>
      <c r="P23" s="9">
        <f t="shared" si="15"/>
        <v>904.56086620605413</v>
      </c>
      <c r="Q23" s="9">
        <f t="shared" si="15"/>
        <v>927.17488786120543</v>
      </c>
      <c r="R23" s="9">
        <f t="shared" si="15"/>
        <v>950.35426005773547</v>
      </c>
      <c r="S23" s="9">
        <f t="shared" si="15"/>
        <v>974.11311655917882</v>
      </c>
      <c r="T23" s="9">
        <f t="shared" si="15"/>
        <v>998.46594447315817</v>
      </c>
      <c r="U23" s="9">
        <f t="shared" si="15"/>
        <v>1023.4275930849871</v>
      </c>
      <c r="V23" s="9">
        <f t="shared" si="15"/>
        <v>1049.0132829121117</v>
      </c>
      <c r="W23" s="9">
        <f t="shared" si="15"/>
        <v>1075.2386149849144</v>
      </c>
      <c r="X23" s="9">
        <f t="shared" si="15"/>
        <v>1102.1195803595372</v>
      </c>
    </row>
    <row r="24" spans="1:25" x14ac:dyDescent="0.25">
      <c r="A24" t="s">
        <v>30</v>
      </c>
      <c r="C24" s="8">
        <v>0</v>
      </c>
      <c r="D24" s="8">
        <v>0</v>
      </c>
      <c r="E24" s="8">
        <v>0</v>
      </c>
      <c r="F24" s="8">
        <v>0</v>
      </c>
      <c r="G24" s="8">
        <v>0</v>
      </c>
      <c r="H24" s="8">
        <v>0</v>
      </c>
      <c r="I24" s="92">
        <f t="shared" ref="I24:X24" si="16">+H24*(1+I9)</f>
        <v>0</v>
      </c>
      <c r="J24" s="40">
        <f t="shared" si="16"/>
        <v>0</v>
      </c>
      <c r="K24" s="9">
        <f t="shared" si="16"/>
        <v>0</v>
      </c>
      <c r="L24" s="9">
        <f t="shared" si="16"/>
        <v>0</v>
      </c>
      <c r="M24" s="9">
        <f t="shared" si="16"/>
        <v>0</v>
      </c>
      <c r="N24" s="9">
        <f t="shared" si="16"/>
        <v>0</v>
      </c>
      <c r="O24" s="9">
        <f t="shared" si="16"/>
        <v>0</v>
      </c>
      <c r="P24" s="9">
        <f t="shared" si="16"/>
        <v>0</v>
      </c>
      <c r="Q24" s="9">
        <f t="shared" si="16"/>
        <v>0</v>
      </c>
      <c r="R24" s="9">
        <f t="shared" si="16"/>
        <v>0</v>
      </c>
      <c r="S24" s="9">
        <f t="shared" si="16"/>
        <v>0</v>
      </c>
      <c r="T24" s="9">
        <f t="shared" si="16"/>
        <v>0</v>
      </c>
      <c r="U24" s="9">
        <f t="shared" si="16"/>
        <v>0</v>
      </c>
      <c r="V24" s="9">
        <f t="shared" si="16"/>
        <v>0</v>
      </c>
      <c r="W24" s="9">
        <f t="shared" si="16"/>
        <v>0</v>
      </c>
      <c r="X24" s="9">
        <f t="shared" si="16"/>
        <v>0</v>
      </c>
    </row>
    <row r="25" spans="1:25" x14ac:dyDescent="0.25">
      <c r="A25" t="s">
        <v>9</v>
      </c>
      <c r="C25" s="8">
        <f>116+42-47</f>
        <v>111</v>
      </c>
      <c r="D25" s="8">
        <v>81</v>
      </c>
      <c r="E25" s="8">
        <f>98+46-57</f>
        <v>87</v>
      </c>
      <c r="F25" s="8">
        <f>111-13</f>
        <v>98</v>
      </c>
      <c r="G25" s="8">
        <f>118-3</f>
        <v>115</v>
      </c>
      <c r="H25" s="8">
        <v>111</v>
      </c>
      <c r="I25" s="92">
        <v>105</v>
      </c>
      <c r="J25" s="40">
        <v>109</v>
      </c>
      <c r="K25" s="9">
        <f>+J25*(1+K$9)*1.03</f>
        <v>115.07675</v>
      </c>
      <c r="L25" s="9">
        <f>+K25*(1+L$9)*1.03</f>
        <v>121.49227881249999</v>
      </c>
      <c r="M25" s="9">
        <f t="shared" ref="M25:X25" si="17">+L25*(1+M$9)*1.03</f>
        <v>128.26547335629687</v>
      </c>
      <c r="N25" s="9">
        <f t="shared" si="17"/>
        <v>135.41627349591039</v>
      </c>
      <c r="O25" s="9">
        <f t="shared" si="17"/>
        <v>142.96573074330738</v>
      </c>
      <c r="P25" s="9">
        <f t="shared" si="17"/>
        <v>150.93607023224675</v>
      </c>
      <c r="Q25" s="9">
        <f t="shared" si="17"/>
        <v>159.35075614769451</v>
      </c>
      <c r="R25" s="9">
        <f t="shared" si="17"/>
        <v>168.23456080292848</v>
      </c>
      <c r="S25" s="9">
        <f t="shared" si="17"/>
        <v>177.61363756769174</v>
      </c>
      <c r="T25" s="9">
        <f t="shared" si="17"/>
        <v>187.51559786209054</v>
      </c>
      <c r="U25" s="9">
        <f t="shared" si="17"/>
        <v>197.96959244290207</v>
      </c>
      <c r="V25" s="9">
        <f t="shared" si="17"/>
        <v>209.00639722159386</v>
      </c>
      <c r="W25" s="9">
        <f t="shared" si="17"/>
        <v>220.65850386669771</v>
      </c>
      <c r="X25" s="9">
        <f t="shared" si="17"/>
        <v>232.96021545726609</v>
      </c>
    </row>
    <row r="26" spans="1:25" x14ac:dyDescent="0.25">
      <c r="A26" t="s">
        <v>10</v>
      </c>
      <c r="C26" s="8">
        <v>22</v>
      </c>
      <c r="D26" s="8">
        <v>14</v>
      </c>
      <c r="E26" s="8">
        <v>31</v>
      </c>
      <c r="F26" s="8">
        <v>15</v>
      </c>
      <c r="G26" s="8">
        <v>18</v>
      </c>
      <c r="H26" s="8">
        <v>10</v>
      </c>
      <c r="I26" s="73">
        <v>30</v>
      </c>
      <c r="J26" s="30">
        <v>24</v>
      </c>
      <c r="K26" s="9">
        <f>+J26*(1+K$9)</f>
        <v>24.599999999999998</v>
      </c>
      <c r="L26" s="9">
        <f t="shared" ref="L26:X26" si="18">+K26*(1+L$9)</f>
        <v>25.214999999999996</v>
      </c>
      <c r="M26" s="9">
        <f t="shared" si="18"/>
        <v>25.845374999999994</v>
      </c>
      <c r="N26" s="9">
        <f t="shared" si="18"/>
        <v>26.491509374999993</v>
      </c>
      <c r="O26" s="9">
        <f t="shared" si="18"/>
        <v>27.153797109374992</v>
      </c>
      <c r="P26" s="9">
        <f t="shared" si="18"/>
        <v>27.832642037109363</v>
      </c>
      <c r="Q26" s="9">
        <f t="shared" si="18"/>
        <v>28.528458088037095</v>
      </c>
      <c r="R26" s="9">
        <f t="shared" si="18"/>
        <v>29.241669540238018</v>
      </c>
      <c r="S26" s="9">
        <f t="shared" si="18"/>
        <v>29.972711278743965</v>
      </c>
      <c r="T26" s="9">
        <f t="shared" si="18"/>
        <v>30.722029060712561</v>
      </c>
      <c r="U26" s="9">
        <f t="shared" si="18"/>
        <v>31.490079787230371</v>
      </c>
      <c r="V26" s="9">
        <f t="shared" si="18"/>
        <v>32.27733178191113</v>
      </c>
      <c r="W26" s="9">
        <f t="shared" si="18"/>
        <v>33.084265076458905</v>
      </c>
      <c r="X26" s="9">
        <f t="shared" si="18"/>
        <v>33.911371703370378</v>
      </c>
    </row>
    <row r="27" spans="1:25" x14ac:dyDescent="0.25">
      <c r="A27" t="s">
        <v>11</v>
      </c>
      <c r="C27" s="8">
        <f>15-9</f>
        <v>6</v>
      </c>
      <c r="D27" s="8">
        <v>4</v>
      </c>
      <c r="E27" s="8">
        <v>8</v>
      </c>
      <c r="F27" s="8">
        <v>8</v>
      </c>
      <c r="G27" s="8">
        <v>13</v>
      </c>
      <c r="H27" s="8">
        <v>11</v>
      </c>
      <c r="I27" s="92">
        <v>19</v>
      </c>
      <c r="J27" s="40">
        <v>24</v>
      </c>
      <c r="K27" s="9">
        <f t="shared" ref="J27:X29" si="19">+J27*(1+K$9)</f>
        <v>24.599999999999998</v>
      </c>
      <c r="L27" s="9">
        <f t="shared" si="19"/>
        <v>25.214999999999996</v>
      </c>
      <c r="M27" s="9">
        <f t="shared" si="19"/>
        <v>25.845374999999994</v>
      </c>
      <c r="N27" s="9">
        <f t="shared" si="19"/>
        <v>26.491509374999993</v>
      </c>
      <c r="O27" s="9">
        <f t="shared" si="19"/>
        <v>27.153797109374992</v>
      </c>
      <c r="P27" s="9">
        <f t="shared" si="19"/>
        <v>27.832642037109363</v>
      </c>
      <c r="Q27" s="9">
        <f t="shared" si="19"/>
        <v>28.528458088037095</v>
      </c>
      <c r="R27" s="9">
        <f t="shared" si="19"/>
        <v>29.241669540238018</v>
      </c>
      <c r="S27" s="9">
        <f t="shared" si="19"/>
        <v>29.972711278743965</v>
      </c>
      <c r="T27" s="9">
        <f t="shared" si="19"/>
        <v>30.722029060712561</v>
      </c>
      <c r="U27" s="9">
        <f t="shared" si="19"/>
        <v>31.490079787230371</v>
      </c>
      <c r="V27" s="9">
        <f t="shared" si="19"/>
        <v>32.27733178191113</v>
      </c>
      <c r="W27" s="9">
        <f t="shared" si="19"/>
        <v>33.084265076458905</v>
      </c>
      <c r="X27" s="9">
        <f t="shared" si="19"/>
        <v>33.911371703370378</v>
      </c>
    </row>
    <row r="28" spans="1:25" x14ac:dyDescent="0.25">
      <c r="A28" t="s">
        <v>13</v>
      </c>
      <c r="C28" s="8">
        <v>32</v>
      </c>
      <c r="D28" s="8">
        <v>29</v>
      </c>
      <c r="E28" s="8">
        <v>30</v>
      </c>
      <c r="F28" s="8">
        <v>30</v>
      </c>
      <c r="G28" s="8">
        <v>20</v>
      </c>
      <c r="H28" s="8">
        <v>22</v>
      </c>
      <c r="I28" s="92">
        <v>22</v>
      </c>
      <c r="J28" s="40">
        <f t="shared" si="19"/>
        <v>22.549999999999997</v>
      </c>
      <c r="K28" s="9">
        <f t="shared" si="19"/>
        <v>23.113749999999996</v>
      </c>
      <c r="L28" s="9">
        <f t="shared" si="19"/>
        <v>23.691593749999996</v>
      </c>
      <c r="M28" s="9">
        <f t="shared" si="19"/>
        <v>24.283883593749994</v>
      </c>
      <c r="N28" s="9">
        <f t="shared" si="19"/>
        <v>24.890980683593742</v>
      </c>
      <c r="O28" s="9">
        <f t="shared" si="19"/>
        <v>25.513255200683584</v>
      </c>
      <c r="P28" s="9">
        <f t="shared" si="19"/>
        <v>26.151086580700671</v>
      </c>
      <c r="Q28" s="9">
        <f t="shared" si="19"/>
        <v>26.804863745218185</v>
      </c>
      <c r="R28" s="9">
        <f t="shared" si="19"/>
        <v>27.474985338848636</v>
      </c>
      <c r="S28" s="9">
        <f t="shared" si="19"/>
        <v>28.161859972319849</v>
      </c>
      <c r="T28" s="9">
        <f t="shared" si="19"/>
        <v>28.865906471627842</v>
      </c>
      <c r="U28" s="9">
        <f t="shared" si="19"/>
        <v>29.587554133418536</v>
      </c>
      <c r="V28" s="9">
        <f t="shared" si="19"/>
        <v>30.327242986753998</v>
      </c>
      <c r="W28" s="9">
        <f t="shared" si="19"/>
        <v>31.085424061422845</v>
      </c>
      <c r="X28" s="9">
        <f t="shared" si="19"/>
        <v>31.862559662958414</v>
      </c>
    </row>
    <row r="29" spans="1:25" x14ac:dyDescent="0.25">
      <c r="A29" t="s">
        <v>14</v>
      </c>
      <c r="C29" s="8">
        <v>42</v>
      </c>
      <c r="D29" s="8">
        <v>46</v>
      </c>
      <c r="E29" s="8">
        <v>45</v>
      </c>
      <c r="F29" s="8">
        <v>50</v>
      </c>
      <c r="G29" s="8">
        <v>42</v>
      </c>
      <c r="H29" s="8">
        <v>39</v>
      </c>
      <c r="I29" s="92">
        <v>31</v>
      </c>
      <c r="J29" s="40">
        <v>35</v>
      </c>
      <c r="K29" s="9">
        <f t="shared" si="19"/>
        <v>35.875</v>
      </c>
      <c r="L29" s="9">
        <f t="shared" si="19"/>
        <v>36.771874999999994</v>
      </c>
      <c r="M29" s="9">
        <f t="shared" si="19"/>
        <v>37.691171874999988</v>
      </c>
      <c r="N29" s="9">
        <f t="shared" si="19"/>
        <v>38.633451171874981</v>
      </c>
      <c r="O29" s="9">
        <f t="shared" si="19"/>
        <v>39.599287451171854</v>
      </c>
      <c r="P29" s="9">
        <f t="shared" si="19"/>
        <v>40.589269637451146</v>
      </c>
      <c r="Q29" s="9">
        <f t="shared" si="19"/>
        <v>41.604001378387423</v>
      </c>
      <c r="R29" s="9">
        <f t="shared" si="19"/>
        <v>42.644101412847107</v>
      </c>
      <c r="S29" s="9">
        <f t="shared" si="19"/>
        <v>43.710203948168278</v>
      </c>
      <c r="T29" s="9">
        <f t="shared" si="19"/>
        <v>44.802959046872481</v>
      </c>
      <c r="U29" s="9">
        <f t="shared" si="19"/>
        <v>45.92303302304429</v>
      </c>
      <c r="V29" s="9">
        <f t="shared" si="19"/>
        <v>47.071108848620391</v>
      </c>
      <c r="W29" s="9">
        <f t="shared" si="19"/>
        <v>48.247886569835899</v>
      </c>
      <c r="X29" s="9">
        <f t="shared" si="19"/>
        <v>49.454083734081792</v>
      </c>
    </row>
    <row r="30" spans="1:25" s="6" customFormat="1" x14ac:dyDescent="0.25">
      <c r="A30" s="6" t="s">
        <v>45</v>
      </c>
      <c r="C30" s="12">
        <f t="shared" ref="C30:X30" si="20">SUM(C22:C29)</f>
        <v>1357</v>
      </c>
      <c r="D30" s="12">
        <f t="shared" si="20"/>
        <v>1254</v>
      </c>
      <c r="E30" s="12">
        <f t="shared" si="20"/>
        <v>1279</v>
      </c>
      <c r="F30" s="12">
        <f t="shared" si="20"/>
        <v>1310</v>
      </c>
      <c r="G30" s="12">
        <f t="shared" si="20"/>
        <v>1359</v>
      </c>
      <c r="H30" s="12">
        <f t="shared" si="20"/>
        <v>1349</v>
      </c>
      <c r="I30" s="77">
        <f t="shared" si="20"/>
        <v>1421</v>
      </c>
      <c r="J30" s="31">
        <f t="shared" si="20"/>
        <v>1367.55</v>
      </c>
      <c r="K30" s="12">
        <f t="shared" si="20"/>
        <v>1405.0904999999996</v>
      </c>
      <c r="L30" s="12">
        <f t="shared" si="20"/>
        <v>1443.7563725624996</v>
      </c>
      <c r="M30" s="12">
        <f t="shared" si="20"/>
        <v>1483.5861694500466</v>
      </c>
      <c r="N30" s="12">
        <f t="shared" si="20"/>
        <v>1524.6199869920042</v>
      </c>
      <c r="O30" s="12">
        <f t="shared" si="20"/>
        <v>1566.899537076803</v>
      </c>
      <c r="P30" s="12">
        <f t="shared" si="20"/>
        <v>1610.4682217240793</v>
      </c>
      <c r="Q30" s="12">
        <f t="shared" si="20"/>
        <v>1655.3712114268228</v>
      </c>
      <c r="R30" s="12">
        <f t="shared" si="20"/>
        <v>1701.6555274640348</v>
      </c>
      <c r="S30" s="12">
        <f t="shared" si="20"/>
        <v>1749.3701283953258</v>
      </c>
      <c r="T30" s="12">
        <f t="shared" si="20"/>
        <v>1798.5660009604153</v>
      </c>
      <c r="U30" s="12">
        <f t="shared" si="20"/>
        <v>1849.2962556186847</v>
      </c>
      <c r="V30" s="12">
        <f t="shared" si="20"/>
        <v>1901.6162269767713</v>
      </c>
      <c r="W30" s="12">
        <f t="shared" si="20"/>
        <v>1955.5835793657541</v>
      </c>
      <c r="X30" s="12">
        <f t="shared" si="20"/>
        <v>2011.2584178437987</v>
      </c>
    </row>
    <row r="31" spans="1:25" x14ac:dyDescent="0.25">
      <c r="A31" s="56" t="s">
        <v>53</v>
      </c>
      <c r="D31" s="55">
        <f>+D30/C30-1</f>
        <v>-7.5902726602800286E-2</v>
      </c>
      <c r="E31" s="55">
        <f t="shared" ref="E31:X31" si="21">+E30/D30-1</f>
        <v>1.9936204146730363E-2</v>
      </c>
      <c r="F31" s="55">
        <f t="shared" si="21"/>
        <v>2.4237685691946842E-2</v>
      </c>
      <c r="G31" s="55">
        <f t="shared" si="21"/>
        <v>3.7404580152671674E-2</v>
      </c>
      <c r="H31" s="55">
        <f t="shared" si="21"/>
        <v>-7.3583517292126199E-3</v>
      </c>
      <c r="I31" s="75">
        <f t="shared" si="21"/>
        <v>5.3372868791697448E-2</v>
      </c>
      <c r="J31" s="57">
        <f t="shared" si="21"/>
        <v>-3.761435608726249E-2</v>
      </c>
      <c r="K31" s="55">
        <f t="shared" si="21"/>
        <v>2.7450915871448656E-2</v>
      </c>
      <c r="L31" s="55">
        <f t="shared" si="21"/>
        <v>2.7518421455771103E-2</v>
      </c>
      <c r="M31" s="55">
        <f t="shared" si="21"/>
        <v>2.7587616335056353E-2</v>
      </c>
      <c r="N31" s="55">
        <f t="shared" si="21"/>
        <v>2.7658533347725056E-2</v>
      </c>
      <c r="O31" s="55">
        <f t="shared" si="21"/>
        <v>2.7731205444980533E-2</v>
      </c>
      <c r="P31" s="55">
        <f t="shared" si="21"/>
        <v>2.7805665657772538E-2</v>
      </c>
      <c r="Q31" s="55">
        <f t="shared" si="21"/>
        <v>2.7881947061751289E-2</v>
      </c>
      <c r="R31" s="55">
        <f t="shared" si="21"/>
        <v>2.7960082740183578E-2</v>
      </c>
      <c r="S31" s="55">
        <f t="shared" si="21"/>
        <v>2.8040105744785881E-2</v>
      </c>
      <c r="T31" s="55">
        <f t="shared" si="21"/>
        <v>2.8122049054430942E-2</v>
      </c>
      <c r="U31" s="55">
        <f t="shared" si="21"/>
        <v>2.8205945531706966E-2</v>
      </c>
      <c r="V31" s="55">
        <f t="shared" si="21"/>
        <v>2.829182787729323E-2</v>
      </c>
      <c r="W31" s="55">
        <f t="shared" si="21"/>
        <v>2.8379728582134112E-2</v>
      </c>
      <c r="X31" s="55">
        <f t="shared" si="21"/>
        <v>2.84696798774009E-2</v>
      </c>
    </row>
    <row r="32" spans="1:25" x14ac:dyDescent="0.25">
      <c r="A32" s="42" t="s">
        <v>47</v>
      </c>
      <c r="C32" s="8">
        <v>21</v>
      </c>
      <c r="D32" s="8">
        <v>0</v>
      </c>
      <c r="E32" s="8">
        <v>0</v>
      </c>
      <c r="F32" s="2">
        <v>0</v>
      </c>
      <c r="G32">
        <v>0</v>
      </c>
      <c r="H32">
        <v>0</v>
      </c>
      <c r="I32" s="65">
        <v>0</v>
      </c>
      <c r="J32" s="21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</row>
    <row r="33" spans="1:24" x14ac:dyDescent="0.25">
      <c r="A33" s="56"/>
      <c r="D33" s="55"/>
      <c r="E33" s="55"/>
      <c r="F33" s="55"/>
      <c r="G33" s="55"/>
      <c r="H33" s="55"/>
      <c r="I33" s="75"/>
      <c r="J33" s="57"/>
      <c r="K33" s="55"/>
      <c r="L33" s="55"/>
      <c r="M33" s="55"/>
      <c r="N33" s="55"/>
      <c r="O33" s="55"/>
      <c r="P33" s="55"/>
      <c r="Q33" s="55"/>
      <c r="R33" s="55"/>
      <c r="S33" s="55"/>
      <c r="T33" s="55"/>
      <c r="U33" s="55"/>
      <c r="V33" s="55"/>
      <c r="W33" s="55"/>
      <c r="X33" s="55"/>
    </row>
    <row r="34" spans="1:24" x14ac:dyDescent="0.25">
      <c r="A34" s="81" t="s">
        <v>59</v>
      </c>
      <c r="B34" s="82"/>
      <c r="C34" s="83">
        <f t="shared" ref="C34:X34" si="22">+C19-C30+C32</f>
        <v>-609</v>
      </c>
      <c r="D34" s="83">
        <f t="shared" si="22"/>
        <v>-399</v>
      </c>
      <c r="E34" s="83">
        <f t="shared" si="22"/>
        <v>-285</v>
      </c>
      <c r="F34" s="83">
        <f t="shared" si="22"/>
        <v>-256</v>
      </c>
      <c r="G34" s="83">
        <f t="shared" si="22"/>
        <v>-234</v>
      </c>
      <c r="H34" s="83">
        <f t="shared" si="22"/>
        <v>-223</v>
      </c>
      <c r="I34" s="84">
        <f t="shared" si="22"/>
        <v>-305</v>
      </c>
      <c r="J34" s="85">
        <f t="shared" si="22"/>
        <v>-169.46437499999979</v>
      </c>
      <c r="K34" s="83">
        <f t="shared" si="22"/>
        <v>-65.599562499999593</v>
      </c>
      <c r="L34" s="83">
        <f t="shared" si="22"/>
        <v>41.60510681250048</v>
      </c>
      <c r="M34" s="83">
        <f t="shared" si="22"/>
        <v>155.34661809682848</v>
      </c>
      <c r="N34" s="83">
        <f t="shared" si="22"/>
        <v>276.03433628494895</v>
      </c>
      <c r="O34" s="83">
        <f t="shared" si="22"/>
        <v>351.1028064848083</v>
      </c>
      <c r="P34" s="83">
        <f t="shared" si="22"/>
        <v>432.68826286666399</v>
      </c>
      <c r="Q34" s="83">
        <f t="shared" si="22"/>
        <v>521.24710082436695</v>
      </c>
      <c r="R34" s="83">
        <f t="shared" si="22"/>
        <v>617.26486434915773</v>
      </c>
      <c r="S34" s="83">
        <f t="shared" si="22"/>
        <v>721.25801451110442</v>
      </c>
      <c r="T34" s="83">
        <f t="shared" si="22"/>
        <v>833.77580175859748</v>
      </c>
      <c r="U34" s="83">
        <f t="shared" si="22"/>
        <v>955.40224799119665</v>
      </c>
      <c r="V34" s="83">
        <f t="shared" si="22"/>
        <v>1086.7582446969179</v>
      </c>
      <c r="W34" s="83">
        <f t="shared" si="22"/>
        <v>1228.503773799516</v>
      </c>
      <c r="X34" s="83">
        <f t="shared" si="22"/>
        <v>1381.3402582354538</v>
      </c>
    </row>
    <row r="35" spans="1:24" x14ac:dyDescent="0.25">
      <c r="A35" s="56"/>
      <c r="D35" s="55"/>
      <c r="E35" s="55"/>
      <c r="F35" s="55"/>
      <c r="G35" s="55"/>
      <c r="H35" s="55"/>
      <c r="I35" s="75"/>
      <c r="J35" s="57"/>
      <c r="K35" s="55"/>
      <c r="L35" s="55"/>
      <c r="M35" s="55"/>
      <c r="N35" s="55"/>
      <c r="O35" s="55"/>
      <c r="P35" s="55"/>
      <c r="Q35" s="55"/>
      <c r="R35" s="55"/>
      <c r="S35" s="55"/>
      <c r="T35" s="55"/>
      <c r="U35" s="55"/>
      <c r="V35" s="55"/>
      <c r="W35" s="55"/>
      <c r="X35" s="55"/>
    </row>
    <row r="36" spans="1:24" x14ac:dyDescent="0.25">
      <c r="A36" t="s">
        <v>23</v>
      </c>
      <c r="C36" s="8">
        <v>-5</v>
      </c>
      <c r="D36" s="8">
        <v>-3</v>
      </c>
      <c r="E36" s="8">
        <v>-35</v>
      </c>
      <c r="F36" s="8">
        <v>-5</v>
      </c>
      <c r="G36" s="63">
        <v>-4</v>
      </c>
      <c r="H36" s="63">
        <v>-16</v>
      </c>
      <c r="I36" s="76">
        <v>0</v>
      </c>
      <c r="J36" s="94">
        <v>0</v>
      </c>
      <c r="K36" s="15">
        <v>-15</v>
      </c>
      <c r="L36" s="15">
        <v>-15</v>
      </c>
      <c r="M36" s="15">
        <v>-15</v>
      </c>
      <c r="N36" s="15">
        <v>-15</v>
      </c>
      <c r="O36" s="15">
        <v>-15</v>
      </c>
      <c r="P36" s="15">
        <v>-15</v>
      </c>
      <c r="Q36" s="15">
        <v>-15</v>
      </c>
      <c r="R36" s="15">
        <v>-15</v>
      </c>
      <c r="S36" s="15">
        <v>-15</v>
      </c>
      <c r="T36" s="15">
        <v>-15</v>
      </c>
      <c r="U36" s="15">
        <v>-15</v>
      </c>
      <c r="V36" s="15">
        <v>-15</v>
      </c>
      <c r="W36" s="15">
        <v>-15</v>
      </c>
      <c r="X36" s="15">
        <v>-15</v>
      </c>
    </row>
    <row r="37" spans="1:24" x14ac:dyDescent="0.25">
      <c r="A37" t="s">
        <v>42</v>
      </c>
      <c r="C37" s="8">
        <f>10+15+2+13-11</f>
        <v>29</v>
      </c>
      <c r="D37" s="10">
        <v>26</v>
      </c>
      <c r="E37" s="10">
        <v>26</v>
      </c>
      <c r="F37" s="10">
        <v>47</v>
      </c>
      <c r="G37" s="10">
        <v>36</v>
      </c>
      <c r="H37" s="11">
        <f>-58+14</f>
        <v>-44</v>
      </c>
      <c r="I37" s="80">
        <v>-75</v>
      </c>
      <c r="J37" s="21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</row>
    <row r="38" spans="1:24" x14ac:dyDescent="0.25">
      <c r="C38" s="8"/>
      <c r="D38" s="10"/>
      <c r="E38" s="10"/>
      <c r="F38" s="10"/>
      <c r="G38" s="10"/>
      <c r="H38" s="11"/>
      <c r="I38" s="65"/>
      <c r="J38" s="21"/>
    </row>
    <row r="39" spans="1:24" x14ac:dyDescent="0.25">
      <c r="A39" s="81" t="s">
        <v>60</v>
      </c>
      <c r="B39" s="82"/>
      <c r="C39" s="83">
        <f>+C34+C36+C37</f>
        <v>-585</v>
      </c>
      <c r="D39" s="83">
        <f t="shared" ref="D39:X39" si="23">+D34+D36+D37</f>
        <v>-376</v>
      </c>
      <c r="E39" s="83">
        <f t="shared" si="23"/>
        <v>-294</v>
      </c>
      <c r="F39" s="83">
        <f t="shared" si="23"/>
        <v>-214</v>
      </c>
      <c r="G39" s="83">
        <f t="shared" si="23"/>
        <v>-202</v>
      </c>
      <c r="H39" s="83">
        <f t="shared" si="23"/>
        <v>-283</v>
      </c>
      <c r="I39" s="84">
        <f t="shared" si="23"/>
        <v>-380</v>
      </c>
      <c r="J39" s="85">
        <f t="shared" si="23"/>
        <v>-169.46437499999979</v>
      </c>
      <c r="K39" s="83">
        <f t="shared" si="23"/>
        <v>-80.599562499999593</v>
      </c>
      <c r="L39" s="83">
        <f t="shared" si="23"/>
        <v>26.60510681250048</v>
      </c>
      <c r="M39" s="83">
        <f t="shared" si="23"/>
        <v>140.34661809682848</v>
      </c>
      <c r="N39" s="83">
        <f t="shared" si="23"/>
        <v>261.03433628494895</v>
      </c>
      <c r="O39" s="83">
        <f t="shared" si="23"/>
        <v>336.1028064848083</v>
      </c>
      <c r="P39" s="83">
        <f t="shared" si="23"/>
        <v>417.68826286666399</v>
      </c>
      <c r="Q39" s="83">
        <f t="shared" si="23"/>
        <v>506.24710082436695</v>
      </c>
      <c r="R39" s="83">
        <f t="shared" si="23"/>
        <v>602.26486434915773</v>
      </c>
      <c r="S39" s="83">
        <f t="shared" si="23"/>
        <v>706.25801451110442</v>
      </c>
      <c r="T39" s="83">
        <f t="shared" si="23"/>
        <v>818.77580175859748</v>
      </c>
      <c r="U39" s="83">
        <f t="shared" si="23"/>
        <v>940.40224799119665</v>
      </c>
      <c r="V39" s="83">
        <f t="shared" si="23"/>
        <v>1071.7582446969179</v>
      </c>
      <c r="W39" s="83">
        <f t="shared" si="23"/>
        <v>1213.503773799516</v>
      </c>
      <c r="X39" s="83">
        <f t="shared" si="23"/>
        <v>1366.3402582354538</v>
      </c>
    </row>
    <row r="40" spans="1:24" x14ac:dyDescent="0.25">
      <c r="A40" s="56"/>
      <c r="D40" s="55"/>
      <c r="E40" s="55"/>
      <c r="F40" s="55"/>
      <c r="G40" s="55"/>
      <c r="H40" s="55"/>
      <c r="I40" s="75"/>
      <c r="J40" s="57"/>
      <c r="K40" s="55"/>
      <c r="L40" s="55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</row>
    <row r="41" spans="1:24" x14ac:dyDescent="0.25">
      <c r="A41" t="s">
        <v>18</v>
      </c>
      <c r="C41" s="86">
        <v>178</v>
      </c>
      <c r="D41" s="86">
        <v>207</v>
      </c>
      <c r="E41" s="86">
        <v>229</v>
      </c>
      <c r="F41" s="86">
        <v>252</v>
      </c>
      <c r="G41" s="86">
        <v>207</v>
      </c>
      <c r="H41" s="86">
        <v>221</v>
      </c>
      <c r="I41" s="93">
        <v>238</v>
      </c>
      <c r="J41" s="88">
        <v>282</v>
      </c>
      <c r="K41" s="89">
        <f t="shared" ref="K41:X41" si="24">MAX((J44+(K30-K19)/2)*K11,0)</f>
        <v>270.60358507812498</v>
      </c>
      <c r="L41" s="89">
        <f t="shared" si="24"/>
        <v>280.27561149808588</v>
      </c>
      <c r="M41" s="89">
        <f t="shared" si="24"/>
        <v>286.67160334199713</v>
      </c>
      <c r="N41" s="89">
        <f t="shared" si="24"/>
        <v>289.46598994190811</v>
      </c>
      <c r="O41" s="89">
        <f t="shared" si="24"/>
        <v>289.17015604501159</v>
      </c>
      <c r="P41" s="89">
        <f t="shared" si="24"/>
        <v>286.31908123951303</v>
      </c>
      <c r="Q41" s="89">
        <f t="shared" si="24"/>
        <v>280.61050171981793</v>
      </c>
      <c r="R41" s="89">
        <f t="shared" si="24"/>
        <v>271.7170235916422</v>
      </c>
      <c r="S41" s="89">
        <f t="shared" si="24"/>
        <v>259.28433007689137</v>
      </c>
      <c r="T41" s="89">
        <f t="shared" si="24"/>
        <v>242.92927129000765</v>
      </c>
      <c r="U41" s="89">
        <f t="shared" si="24"/>
        <v>222.23782929849875</v>
      </c>
      <c r="V41" s="89">
        <f t="shared" si="24"/>
        <v>196.76295074451812</v>
      </c>
      <c r="W41" s="89">
        <f t="shared" si="24"/>
        <v>166.02223884314787</v>
      </c>
      <c r="X41" s="89">
        <f t="shared" si="24"/>
        <v>129.49549608498194</v>
      </c>
    </row>
    <row r="42" spans="1:24" s="6" customFormat="1" x14ac:dyDescent="0.25">
      <c r="A42" s="6" t="s">
        <v>61</v>
      </c>
      <c r="C42" s="12">
        <f>+C39-C41</f>
        <v>-763</v>
      </c>
      <c r="D42" s="12">
        <f t="shared" ref="D42:X42" si="25">+D39-D41</f>
        <v>-583</v>
      </c>
      <c r="E42" s="12">
        <f t="shared" si="25"/>
        <v>-523</v>
      </c>
      <c r="F42" s="12">
        <f t="shared" si="25"/>
        <v>-466</v>
      </c>
      <c r="G42" s="12">
        <f t="shared" si="25"/>
        <v>-409</v>
      </c>
      <c r="H42" s="12">
        <f t="shared" si="25"/>
        <v>-504</v>
      </c>
      <c r="I42" s="77">
        <f t="shared" si="25"/>
        <v>-618</v>
      </c>
      <c r="J42" s="31">
        <f t="shared" si="25"/>
        <v>-451.46437499999979</v>
      </c>
      <c r="K42" s="12">
        <f t="shared" si="25"/>
        <v>-351.20314757812457</v>
      </c>
      <c r="L42" s="12">
        <f t="shared" si="25"/>
        <v>-253.6705046855854</v>
      </c>
      <c r="M42" s="12">
        <f t="shared" si="25"/>
        <v>-146.32498524516865</v>
      </c>
      <c r="N42" s="12">
        <f t="shared" si="25"/>
        <v>-28.431653656959156</v>
      </c>
      <c r="O42" s="12">
        <f t="shared" si="25"/>
        <v>46.932650439796703</v>
      </c>
      <c r="P42" s="12">
        <f t="shared" si="25"/>
        <v>131.36918162715097</v>
      </c>
      <c r="Q42" s="12">
        <f t="shared" si="25"/>
        <v>225.63659910454902</v>
      </c>
      <c r="R42" s="12">
        <f t="shared" si="25"/>
        <v>330.54784075751553</v>
      </c>
      <c r="S42" s="12">
        <f t="shared" si="25"/>
        <v>446.97368443421306</v>
      </c>
      <c r="T42" s="12">
        <f t="shared" si="25"/>
        <v>575.84653046858989</v>
      </c>
      <c r="U42" s="12">
        <f t="shared" si="25"/>
        <v>718.16441869269784</v>
      </c>
      <c r="V42" s="12">
        <f t="shared" si="25"/>
        <v>874.99529395239983</v>
      </c>
      <c r="W42" s="12">
        <f t="shared" si="25"/>
        <v>1047.4815349563683</v>
      </c>
      <c r="X42" s="12">
        <f t="shared" si="25"/>
        <v>1236.844762150472</v>
      </c>
    </row>
    <row r="43" spans="1:24" x14ac:dyDescent="0.25">
      <c r="F43" s="10"/>
      <c r="G43" s="10"/>
      <c r="I43" s="65"/>
      <c r="J43" s="21"/>
    </row>
    <row r="44" spans="1:24" x14ac:dyDescent="0.25">
      <c r="A44" s="21" t="s">
        <v>26</v>
      </c>
      <c r="B44" s="21"/>
      <c r="C44" s="22">
        <v>4735</v>
      </c>
      <c r="D44" s="22">
        <v>5318</v>
      </c>
      <c r="E44" s="22">
        <f>5606+229</f>
        <v>5835</v>
      </c>
      <c r="F44" s="22">
        <v>6332</v>
      </c>
      <c r="G44" s="22">
        <v>6730</v>
      </c>
      <c r="H44" s="23">
        <v>7254</v>
      </c>
      <c r="I44" s="78">
        <f>7254+350+238</f>
        <v>7842</v>
      </c>
      <c r="J44" s="23">
        <f t="shared" ref="J44:X44" si="26">MAX(0,+I44-J42)</f>
        <v>8293.4643749999996</v>
      </c>
      <c r="K44" s="23">
        <f t="shared" si="26"/>
        <v>8644.6675225781237</v>
      </c>
      <c r="L44" s="23">
        <f t="shared" si="26"/>
        <v>8898.3380272637096</v>
      </c>
      <c r="M44" s="23">
        <f t="shared" si="26"/>
        <v>9044.6630125088777</v>
      </c>
      <c r="N44" s="23">
        <f t="shared" si="26"/>
        <v>9073.0946661658363</v>
      </c>
      <c r="O44" s="23">
        <f t="shared" si="26"/>
        <v>9026.1620157260404</v>
      </c>
      <c r="P44" s="23">
        <f t="shared" si="26"/>
        <v>8894.7928340988892</v>
      </c>
      <c r="Q44" s="23">
        <f t="shared" si="26"/>
        <v>8669.1562349943397</v>
      </c>
      <c r="R44" s="23">
        <f t="shared" si="26"/>
        <v>8338.6083942368241</v>
      </c>
      <c r="S44" s="23">
        <f t="shared" si="26"/>
        <v>7891.6347098026108</v>
      </c>
      <c r="T44" s="23">
        <f t="shared" si="26"/>
        <v>7315.7881793340212</v>
      </c>
      <c r="U44" s="23">
        <f t="shared" si="26"/>
        <v>6597.6237606413233</v>
      </c>
      <c r="V44" s="23">
        <f t="shared" si="26"/>
        <v>5722.6284666889233</v>
      </c>
      <c r="W44" s="23">
        <f t="shared" si="26"/>
        <v>4675.1469317325555</v>
      </c>
      <c r="X44" s="23">
        <f t="shared" si="26"/>
        <v>3438.3021695820835</v>
      </c>
    </row>
    <row r="45" spans="1:24" x14ac:dyDescent="0.25">
      <c r="A45" s="21" t="s">
        <v>27</v>
      </c>
      <c r="B45" s="21"/>
      <c r="C45" s="22">
        <v>4731</v>
      </c>
      <c r="D45" s="22">
        <v>4752</v>
      </c>
      <c r="E45" s="22">
        <v>4776</v>
      </c>
      <c r="F45" s="22">
        <v>5144</v>
      </c>
      <c r="G45" s="22">
        <v>5444</v>
      </c>
      <c r="H45" s="24">
        <f>+G45+979</f>
        <v>6423</v>
      </c>
      <c r="I45" s="68">
        <f t="shared" ref="I45:X45" si="27">IF(I44&gt;0,H45+I46,MAX(0,H45+I46-(I42-(H44-I44))))</f>
        <v>6772</v>
      </c>
      <c r="J45" s="24">
        <f t="shared" si="27"/>
        <v>7252</v>
      </c>
      <c r="K45" s="24">
        <f t="shared" si="27"/>
        <v>7500</v>
      </c>
      <c r="L45" s="24">
        <f t="shared" si="27"/>
        <v>7500</v>
      </c>
      <c r="M45" s="24">
        <f t="shared" si="27"/>
        <v>7500</v>
      </c>
      <c r="N45" s="24">
        <f t="shared" si="27"/>
        <v>7500</v>
      </c>
      <c r="O45" s="24">
        <f t="shared" si="27"/>
        <v>7500</v>
      </c>
      <c r="P45" s="24">
        <f t="shared" si="27"/>
        <v>7500</v>
      </c>
      <c r="Q45" s="24">
        <f t="shared" si="27"/>
        <v>7500</v>
      </c>
      <c r="R45" s="24">
        <f t="shared" si="27"/>
        <v>7500</v>
      </c>
      <c r="S45" s="24">
        <f t="shared" si="27"/>
        <v>7500</v>
      </c>
      <c r="T45" s="24">
        <f t="shared" si="27"/>
        <v>7500</v>
      </c>
      <c r="U45" s="24">
        <f t="shared" si="27"/>
        <v>7500</v>
      </c>
      <c r="V45" s="24">
        <f t="shared" si="27"/>
        <v>7500</v>
      </c>
      <c r="W45" s="24">
        <f t="shared" si="27"/>
        <v>7500</v>
      </c>
      <c r="X45" s="24">
        <f t="shared" si="27"/>
        <v>7500</v>
      </c>
    </row>
    <row r="46" spans="1:24" x14ac:dyDescent="0.25">
      <c r="A46" t="s">
        <v>31</v>
      </c>
      <c r="C46" s="54"/>
      <c r="D46" s="54">
        <f>+D45-C45</f>
        <v>21</v>
      </c>
      <c r="E46" s="54">
        <f>+E45-D45</f>
        <v>24</v>
      </c>
      <c r="F46" s="54">
        <f>+F45-E45</f>
        <v>368</v>
      </c>
      <c r="G46" s="54">
        <f>+G45-F45</f>
        <v>300</v>
      </c>
      <c r="H46" s="59">
        <v>979</v>
      </c>
      <c r="I46" s="65">
        <v>349</v>
      </c>
      <c r="J46" s="21">
        <f>IF(SUM($D46:I46)&lt;(7500-$C45),IF((10000*J6/1000+SUM($D46:I46))&lt;(7500-$C45),10000*J6/1000,7500-$C45-SUM($D46:I46)),0)</f>
        <v>480</v>
      </c>
      <c r="K46">
        <f>IF(SUM($D46:J46)&lt;(7500-$C45),IF((10000*K6/1000+SUM($D46:J46))&lt;(7500-$C45),10000*K6/1000,7500-$C45-SUM($D46:J46)),0)</f>
        <v>248</v>
      </c>
      <c r="L46">
        <f>IF(SUM($D46:K46)&lt;(7500-$C45),IF((10000*L6/1000+SUM($D46:K46))&lt;(7500-$C45),10000*L6/1000,7500-$C45-SUM($D46:K46)),0)</f>
        <v>0</v>
      </c>
      <c r="M46">
        <f>IF(SUM($D46:L46)&lt;(7500-$C45),IF((10000*M6/1000+SUM($D46:L46))&lt;(7500-$C45),10000*M6/1000,7500-$C45-SUM($D46:L46)),0)</f>
        <v>0</v>
      </c>
      <c r="N46">
        <f>IF(SUM($D46:M46)&lt;(7500-$C45),IF((10000*N6/1000+SUM($D46:M46))&lt;(7500-$C45),10000*N6/1000,7500-$C45-SUM($D46:M46)),0)</f>
        <v>0</v>
      </c>
      <c r="O46">
        <f>IF(SUM($D46:N46)&lt;(7500-$C45),IF((10000*O6/1000+SUM($D46:N46))&lt;(7500-$C45),10000*O6/1000,7500-$C45-SUM($D46:N46)),0)</f>
        <v>0</v>
      </c>
      <c r="P46">
        <f>IF(SUM($D46:O46)&lt;(7500-$C45),IF((10000*P6/1000+SUM($D46:O46))&lt;(7500-$C45),10000*P6/1000,7500-$C45-SUM($D46:O46)),0)</f>
        <v>0</v>
      </c>
      <c r="Q46">
        <f>IF(SUM($D46:P46)&lt;(7500-$C45),IF((10000*Q6/1000+SUM($D46:P46))&lt;(7500-$C45),10000*Q6/1000,7500-$C45-SUM($D46:P46)),0)</f>
        <v>0</v>
      </c>
      <c r="R46">
        <f>IF(SUM($D46:Q46)&lt;(7500-$C45),IF((10000*R6/1000+SUM($D46:Q46))&lt;(7500-$C45),10000*R6/1000,7500-$C45-SUM($D46:Q46)),0)</f>
        <v>0</v>
      </c>
      <c r="S46">
        <f>IF(SUM($D46:R46)&lt;(7500-$C45),IF((10000*S6/1000+SUM($D46:R46))&lt;(7500-$C45),10000*S6/1000,7500-$C45-SUM($D46:R46)),0)</f>
        <v>0</v>
      </c>
      <c r="T46">
        <f>IF(SUM($D46:S46)&lt;(7500-$C45),IF((10000*T6/1000+SUM($D46:S46))&lt;(7500-$C45),10000*T6/1000,7500-$C45-SUM($D46:S46)),0)</f>
        <v>0</v>
      </c>
      <c r="U46">
        <f>IF(SUM($D46:T46)&lt;(7500-$C45),IF((10000*U6/1000+SUM($D46:T46))&lt;(7500-$C45),10000*U6/1000,7500-$C45-SUM($D46:T46)),0)</f>
        <v>0</v>
      </c>
      <c r="V46">
        <f>IF(SUM($D46:U46)&lt;(7500-$C45),IF((10000*V6/1000+SUM($D46:U46))&lt;(7500-$C45),10000*V6/1000,7500-$C45-SUM($D46:U46)),0)</f>
        <v>0</v>
      </c>
      <c r="W46">
        <f>IF(SUM($D46:V46)&lt;(7500-$C45),IF((10000*W6/1000+SUM($D46:V46))&lt;(7500-$C45),10000*W6/1000,7500-$C45-SUM($D46:V46)),0)</f>
        <v>0</v>
      </c>
      <c r="X46">
        <f>IF(SUM($D46:W46)&lt;(7500-$C45),IF((10000*X6/1000+SUM($D46:W46))&lt;(7500-$C45),10000*X6/1000,7500-$C45-SUM($D46:W46)),0)</f>
        <v>0</v>
      </c>
    </row>
    <row r="47" spans="1:24" x14ac:dyDescent="0.25">
      <c r="A47" t="s">
        <v>55</v>
      </c>
      <c r="C47">
        <v>8</v>
      </c>
      <c r="D47" s="11">
        <v>8</v>
      </c>
      <c r="E47" s="11">
        <v>2</v>
      </c>
      <c r="F47" s="11">
        <v>33</v>
      </c>
      <c r="G47" s="11">
        <v>22</v>
      </c>
      <c r="H47">
        <v>42</v>
      </c>
      <c r="I47" s="78">
        <v>12</v>
      </c>
      <c r="J47" s="23">
        <f t="shared" ref="J47:X47" si="28">+I47</f>
        <v>12</v>
      </c>
      <c r="K47" s="11">
        <f t="shared" si="28"/>
        <v>12</v>
      </c>
      <c r="L47" s="11">
        <f t="shared" si="28"/>
        <v>12</v>
      </c>
      <c r="M47" s="11">
        <f t="shared" si="28"/>
        <v>12</v>
      </c>
      <c r="N47" s="11">
        <f t="shared" si="28"/>
        <v>12</v>
      </c>
      <c r="O47" s="11">
        <f t="shared" si="28"/>
        <v>12</v>
      </c>
      <c r="P47" s="11">
        <f t="shared" si="28"/>
        <v>12</v>
      </c>
      <c r="Q47" s="11">
        <f t="shared" si="28"/>
        <v>12</v>
      </c>
      <c r="R47" s="11">
        <f t="shared" si="28"/>
        <v>12</v>
      </c>
      <c r="S47" s="11">
        <f t="shared" si="28"/>
        <v>12</v>
      </c>
      <c r="T47" s="11">
        <f t="shared" si="28"/>
        <v>12</v>
      </c>
      <c r="U47" s="11">
        <f t="shared" si="28"/>
        <v>12</v>
      </c>
      <c r="V47" s="11">
        <f t="shared" si="28"/>
        <v>12</v>
      </c>
      <c r="W47" s="11">
        <f t="shared" si="28"/>
        <v>12</v>
      </c>
      <c r="X47" s="11">
        <f t="shared" si="28"/>
        <v>12</v>
      </c>
    </row>
    <row r="48" spans="1:24" x14ac:dyDescent="0.25">
      <c r="A48" t="s">
        <v>56</v>
      </c>
      <c r="C48">
        <f t="shared" ref="C48:F48" si="29">+C47-B47</f>
        <v>8</v>
      </c>
      <c r="D48" s="11">
        <f t="shared" si="29"/>
        <v>0</v>
      </c>
      <c r="E48" s="11">
        <f t="shared" si="29"/>
        <v>-6</v>
      </c>
      <c r="F48" s="11">
        <f t="shared" si="29"/>
        <v>31</v>
      </c>
      <c r="G48" s="11">
        <f>+G47-F47</f>
        <v>-11</v>
      </c>
      <c r="H48" s="11">
        <f>+H47-G47</f>
        <v>20</v>
      </c>
      <c r="I48" s="78">
        <f t="shared" ref="I48:X48" si="30">+I47-H47</f>
        <v>-30</v>
      </c>
      <c r="J48" s="23">
        <f t="shared" si="30"/>
        <v>0</v>
      </c>
      <c r="K48" s="11">
        <f t="shared" si="30"/>
        <v>0</v>
      </c>
      <c r="L48" s="11">
        <f t="shared" si="30"/>
        <v>0</v>
      </c>
      <c r="M48" s="11">
        <f t="shared" si="30"/>
        <v>0</v>
      </c>
      <c r="N48" s="11">
        <f t="shared" si="30"/>
        <v>0</v>
      </c>
      <c r="O48" s="11">
        <f t="shared" si="30"/>
        <v>0</v>
      </c>
      <c r="P48" s="11">
        <f t="shared" si="30"/>
        <v>0</v>
      </c>
      <c r="Q48" s="11">
        <f t="shared" si="30"/>
        <v>0</v>
      </c>
      <c r="R48" s="11">
        <f t="shared" si="30"/>
        <v>0</v>
      </c>
      <c r="S48" s="11">
        <f t="shared" si="30"/>
        <v>0</v>
      </c>
      <c r="T48" s="11">
        <f t="shared" si="30"/>
        <v>0</v>
      </c>
      <c r="U48" s="11">
        <f t="shared" si="30"/>
        <v>0</v>
      </c>
      <c r="V48" s="11">
        <f t="shared" si="30"/>
        <v>0</v>
      </c>
      <c r="W48" s="11">
        <f t="shared" si="30"/>
        <v>0</v>
      </c>
      <c r="X48" s="11">
        <f t="shared" si="30"/>
        <v>0</v>
      </c>
    </row>
    <row r="49" spans="4:10" x14ac:dyDescent="0.25">
      <c r="D49" s="59"/>
      <c r="E49" s="59"/>
      <c r="F49" s="59"/>
      <c r="G49" s="59"/>
      <c r="H49" s="59"/>
      <c r="I49" s="80"/>
      <c r="J49" s="21"/>
    </row>
    <row r="71" spans="1:26" x14ac:dyDescent="0.25">
      <c r="C71" s="4"/>
    </row>
    <row r="73" spans="1:26" x14ac:dyDescent="0.25">
      <c r="A73" t="s">
        <v>62</v>
      </c>
      <c r="C73" s="10">
        <f>+C39-C18+C23+C29-C37</f>
        <v>-304</v>
      </c>
      <c r="D73" s="10">
        <f t="shared" ref="D73:X73" si="31">+D39-D18+D23+D29-D37</f>
        <v>-203</v>
      </c>
      <c r="E73" s="10">
        <f t="shared" si="31"/>
        <v>-249</v>
      </c>
      <c r="F73" s="10">
        <f t="shared" si="31"/>
        <v>-178</v>
      </c>
      <c r="G73" s="10">
        <f t="shared" si="31"/>
        <v>-165</v>
      </c>
      <c r="H73" s="10">
        <f t="shared" si="31"/>
        <v>-138</v>
      </c>
      <c r="I73" s="10">
        <f t="shared" si="31"/>
        <v>-143</v>
      </c>
      <c r="J73" s="10">
        <f t="shared" si="31"/>
        <v>23.535625000000209</v>
      </c>
      <c r="K73" s="10">
        <f t="shared" si="31"/>
        <v>64.225437500000339</v>
      </c>
      <c r="L73" s="10">
        <f t="shared" si="31"/>
        <v>122.0507318125004</v>
      </c>
      <c r="M73" s="10">
        <f t="shared" si="31"/>
        <v>185.17838372182834</v>
      </c>
      <c r="N73" s="10">
        <f t="shared" si="31"/>
        <v>253.98689605057382</v>
      </c>
      <c r="O73" s="10">
        <f t="shared" si="31"/>
        <v>328.87918024457377</v>
      </c>
      <c r="P73" s="10">
        <f t="shared" si="31"/>
        <v>410.28404597042356</v>
      </c>
      <c r="Q73" s="10">
        <f t="shared" si="31"/>
        <v>498.6577785057205</v>
      </c>
      <c r="R73" s="10">
        <f t="shared" si="31"/>
        <v>594.4858089725451</v>
      </c>
      <c r="S73" s="10">
        <f t="shared" si="31"/>
        <v>698.28448275007656</v>
      </c>
      <c r="T73" s="10">
        <f t="shared" si="31"/>
        <v>810.60293170354396</v>
      </c>
      <c r="U73" s="10">
        <f t="shared" si="31"/>
        <v>932.02505618476675</v>
      </c>
      <c r="V73" s="10">
        <f t="shared" si="31"/>
        <v>1063.1716230953275</v>
      </c>
      <c r="W73" s="10">
        <f t="shared" si="31"/>
        <v>1204.7024866578856</v>
      </c>
      <c r="X73" s="10">
        <f t="shared" si="31"/>
        <v>1357.3189389152826</v>
      </c>
      <c r="Y73" s="10"/>
      <c r="Z73" s="10"/>
    </row>
    <row r="74" spans="1:26" x14ac:dyDescent="0.25">
      <c r="A74" t="s">
        <v>63</v>
      </c>
      <c r="C74" s="90">
        <f>+C39-C73</f>
        <v>-281</v>
      </c>
      <c r="D74" s="90">
        <f t="shared" ref="D74:X74" si="32">+D39-D73</f>
        <v>-173</v>
      </c>
      <c r="E74" s="90">
        <f t="shared" si="32"/>
        <v>-45</v>
      </c>
      <c r="F74" s="90">
        <f t="shared" si="32"/>
        <v>-36</v>
      </c>
      <c r="G74" s="90">
        <f t="shared" si="32"/>
        <v>-37</v>
      </c>
      <c r="H74" s="90">
        <f t="shared" si="32"/>
        <v>-145</v>
      </c>
      <c r="I74" s="90">
        <f t="shared" si="32"/>
        <v>-237</v>
      </c>
      <c r="J74" s="90">
        <f t="shared" si="32"/>
        <v>-193</v>
      </c>
      <c r="K74" s="90">
        <f t="shared" si="32"/>
        <v>-144.82499999999993</v>
      </c>
      <c r="L74" s="90">
        <f t="shared" si="32"/>
        <v>-95.445624999999922</v>
      </c>
      <c r="M74" s="90">
        <f t="shared" si="32"/>
        <v>-44.831765624999861</v>
      </c>
      <c r="N74" s="90">
        <f t="shared" si="32"/>
        <v>7.0474402343751308</v>
      </c>
      <c r="O74" s="90">
        <f t="shared" si="32"/>
        <v>7.2236262402345233</v>
      </c>
      <c r="P74" s="90">
        <f t="shared" si="32"/>
        <v>7.4042168962404276</v>
      </c>
      <c r="Q74" s="90">
        <f t="shared" si="32"/>
        <v>7.5893223186464525</v>
      </c>
      <c r="R74" s="90">
        <f t="shared" si="32"/>
        <v>7.7790553766126322</v>
      </c>
      <c r="S74" s="90">
        <f t="shared" si="32"/>
        <v>7.9735317610278571</v>
      </c>
      <c r="T74" s="90">
        <f t="shared" si="32"/>
        <v>8.1728700550535223</v>
      </c>
      <c r="U74" s="90">
        <f t="shared" si="32"/>
        <v>8.3771918064298916</v>
      </c>
      <c r="V74" s="90">
        <f t="shared" si="32"/>
        <v>8.5866216015904229</v>
      </c>
      <c r="W74" s="90">
        <f t="shared" si="32"/>
        <v>8.8012871416303824</v>
      </c>
      <c r="X74" s="90">
        <f t="shared" si="32"/>
        <v>9.0213193201711874</v>
      </c>
      <c r="Y74" s="90"/>
      <c r="Z74" s="90"/>
    </row>
    <row r="75" spans="1:26" x14ac:dyDescent="0.25">
      <c r="A75" t="s">
        <v>64</v>
      </c>
      <c r="C75" s="10">
        <f>+C73+C74</f>
        <v>-585</v>
      </c>
      <c r="D75" s="10">
        <f t="shared" ref="D75:X75" si="33">+D73+D74</f>
        <v>-376</v>
      </c>
      <c r="E75" s="10">
        <f t="shared" si="33"/>
        <v>-294</v>
      </c>
      <c r="F75" s="10">
        <f t="shared" si="33"/>
        <v>-214</v>
      </c>
      <c r="G75" s="10">
        <f t="shared" si="33"/>
        <v>-202</v>
      </c>
      <c r="H75" s="10">
        <f t="shared" si="33"/>
        <v>-283</v>
      </c>
      <c r="I75" s="10">
        <f t="shared" si="33"/>
        <v>-380</v>
      </c>
      <c r="J75" s="10">
        <f t="shared" si="33"/>
        <v>-169.46437499999979</v>
      </c>
      <c r="K75" s="10">
        <f t="shared" si="33"/>
        <v>-80.599562499999593</v>
      </c>
      <c r="L75" s="10">
        <f t="shared" si="33"/>
        <v>26.60510681250048</v>
      </c>
      <c r="M75" s="10">
        <f t="shared" si="33"/>
        <v>140.34661809682848</v>
      </c>
      <c r="N75" s="10">
        <f t="shared" si="33"/>
        <v>261.03433628494895</v>
      </c>
      <c r="O75" s="10">
        <f t="shared" si="33"/>
        <v>336.1028064848083</v>
      </c>
      <c r="P75" s="10">
        <f t="shared" si="33"/>
        <v>417.68826286666399</v>
      </c>
      <c r="Q75" s="10">
        <f t="shared" si="33"/>
        <v>506.24710082436695</v>
      </c>
      <c r="R75" s="10">
        <f t="shared" si="33"/>
        <v>602.26486434915773</v>
      </c>
      <c r="S75" s="10">
        <f t="shared" si="33"/>
        <v>706.25801451110442</v>
      </c>
      <c r="T75" s="10">
        <f t="shared" si="33"/>
        <v>818.77580175859748</v>
      </c>
      <c r="U75" s="10">
        <f t="shared" si="33"/>
        <v>940.40224799119665</v>
      </c>
      <c r="V75" s="10">
        <f t="shared" si="33"/>
        <v>1071.7582446969179</v>
      </c>
      <c r="W75" s="10">
        <f t="shared" si="33"/>
        <v>1213.503773799516</v>
      </c>
      <c r="X75" s="10">
        <f t="shared" si="33"/>
        <v>1366.3402582354538</v>
      </c>
      <c r="Y75" s="10"/>
      <c r="Z75" s="10"/>
    </row>
    <row r="77" spans="1:26" x14ac:dyDescent="0.25">
      <c r="A77" t="s">
        <v>65</v>
      </c>
      <c r="C77">
        <v>3638</v>
      </c>
      <c r="D77">
        <v>3445</v>
      </c>
      <c r="E77">
        <v>3277</v>
      </c>
      <c r="F77">
        <v>2814</v>
      </c>
      <c r="G77">
        <v>2312</v>
      </c>
      <c r="H77">
        <v>1676</v>
      </c>
      <c r="I77">
        <v>1159</v>
      </c>
      <c r="J77">
        <v>412</v>
      </c>
      <c r="K77">
        <v>0</v>
      </c>
    </row>
    <row r="84" spans="8:8" x14ac:dyDescent="0.25">
      <c r="H84" s="10"/>
    </row>
  </sheetData>
  <pageMargins left="0.7" right="0.7" top="0.75" bottom="0.75" header="0.3" footer="0.3"/>
  <pageSetup paperSize="17" scale="67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AE90"/>
  <sheetViews>
    <sheetView workbookViewId="0"/>
  </sheetViews>
  <sheetFormatPr defaultRowHeight="15" x14ac:dyDescent="0.25"/>
  <cols>
    <col min="1" max="1" width="24.5703125" customWidth="1"/>
    <col min="2" max="2" width="11.28515625" customWidth="1"/>
    <col min="3" max="3" width="11.5703125" hidden="1" customWidth="1"/>
    <col min="4" max="4" width="9.5703125" hidden="1" customWidth="1"/>
    <col min="5" max="5" width="10.5703125" hidden="1" customWidth="1"/>
    <col min="6" max="6" width="10" customWidth="1"/>
    <col min="7" max="7" width="9.42578125" customWidth="1"/>
    <col min="8" max="10" width="8.5703125" customWidth="1"/>
    <col min="11" max="11" width="9.42578125" customWidth="1"/>
    <col min="12" max="29" width="8.5703125" customWidth="1"/>
  </cols>
  <sheetData>
    <row r="1" spans="1:29" ht="23.25" customHeight="1" x14ac:dyDescent="0.4">
      <c r="A1" s="19" t="s">
        <v>22</v>
      </c>
    </row>
    <row r="2" spans="1:29" ht="18.75" x14ac:dyDescent="0.3">
      <c r="A2" s="20" t="s">
        <v>69</v>
      </c>
      <c r="G2" s="10"/>
      <c r="H2" s="79"/>
      <c r="I2" s="79"/>
      <c r="J2" s="79" t="s">
        <v>70</v>
      </c>
      <c r="K2" s="79" t="s">
        <v>57</v>
      </c>
    </row>
    <row r="3" spans="1:29" x14ac:dyDescent="0.25">
      <c r="A3" t="s">
        <v>28</v>
      </c>
      <c r="C3" s="14">
        <v>2009</v>
      </c>
      <c r="D3" s="14">
        <v>2010</v>
      </c>
      <c r="E3" s="14">
        <v>2011</v>
      </c>
      <c r="F3" s="14">
        <v>2012</v>
      </c>
      <c r="G3" s="14">
        <f t="shared" ref="G3:V3" si="0">+F3+1</f>
        <v>2013</v>
      </c>
      <c r="H3" s="14">
        <f t="shared" si="0"/>
        <v>2014</v>
      </c>
      <c r="I3" s="14">
        <f t="shared" si="0"/>
        <v>2015</v>
      </c>
      <c r="J3" s="64">
        <f t="shared" si="0"/>
        <v>2016</v>
      </c>
      <c r="K3" s="27">
        <f t="shared" si="0"/>
        <v>2017</v>
      </c>
      <c r="L3" s="14">
        <f t="shared" si="0"/>
        <v>2018</v>
      </c>
      <c r="M3" s="14">
        <f t="shared" si="0"/>
        <v>2019</v>
      </c>
      <c r="N3" s="14">
        <f t="shared" si="0"/>
        <v>2020</v>
      </c>
      <c r="O3" s="14">
        <f t="shared" si="0"/>
        <v>2021</v>
      </c>
      <c r="P3" s="14">
        <f t="shared" si="0"/>
        <v>2022</v>
      </c>
      <c r="Q3" s="14">
        <f t="shared" si="0"/>
        <v>2023</v>
      </c>
      <c r="R3" s="14">
        <f t="shared" si="0"/>
        <v>2024</v>
      </c>
      <c r="S3" s="14">
        <f t="shared" si="0"/>
        <v>2025</v>
      </c>
      <c r="T3" s="14">
        <f t="shared" si="0"/>
        <v>2026</v>
      </c>
      <c r="U3" s="14">
        <f t="shared" si="0"/>
        <v>2027</v>
      </c>
      <c r="V3" s="14">
        <f t="shared" si="0"/>
        <v>2028</v>
      </c>
      <c r="W3" s="14">
        <f>+V3+1</f>
        <v>2029</v>
      </c>
      <c r="X3" s="14">
        <f>+W3+1</f>
        <v>2030</v>
      </c>
      <c r="Y3" s="14">
        <f t="shared" ref="Y3:AC3" si="1">+X3+1</f>
        <v>2031</v>
      </c>
      <c r="Z3" s="14">
        <f t="shared" si="1"/>
        <v>2032</v>
      </c>
      <c r="AA3" s="14">
        <f t="shared" si="1"/>
        <v>2033</v>
      </c>
      <c r="AB3" s="14">
        <f t="shared" si="1"/>
        <v>2034</v>
      </c>
      <c r="AC3" s="14">
        <f t="shared" si="1"/>
        <v>2035</v>
      </c>
    </row>
    <row r="4" spans="1:29" x14ac:dyDescent="0.25">
      <c r="J4" s="65"/>
      <c r="K4" s="21"/>
    </row>
    <row r="5" spans="1:29" s="4" customFormat="1" x14ac:dyDescent="0.25">
      <c r="A5" s="104" t="s">
        <v>50</v>
      </c>
      <c r="C5" s="43">
        <v>332</v>
      </c>
      <c r="D5" s="43">
        <f>+C5+D6</f>
        <v>379</v>
      </c>
      <c r="E5" s="43">
        <f t="shared" ref="E5:X5" si="2">+D5+E6</f>
        <v>424</v>
      </c>
      <c r="F5" s="43">
        <f t="shared" si="2"/>
        <v>468</v>
      </c>
      <c r="G5" s="43">
        <f t="shared" si="2"/>
        <v>510</v>
      </c>
      <c r="H5" s="43">
        <f t="shared" si="2"/>
        <v>544</v>
      </c>
      <c r="I5" s="43">
        <f t="shared" si="2"/>
        <v>581</v>
      </c>
      <c r="J5" s="68">
        <f t="shared" si="2"/>
        <v>618</v>
      </c>
      <c r="K5" s="24">
        <f t="shared" si="2"/>
        <v>660</v>
      </c>
      <c r="L5" s="4">
        <f t="shared" si="2"/>
        <v>702</v>
      </c>
      <c r="M5" s="4">
        <f t="shared" si="2"/>
        <v>744</v>
      </c>
      <c r="N5" s="4">
        <f t="shared" si="2"/>
        <v>786</v>
      </c>
      <c r="O5" s="4">
        <f t="shared" si="2"/>
        <v>828</v>
      </c>
      <c r="P5" s="4">
        <f t="shared" si="2"/>
        <v>870</v>
      </c>
      <c r="Q5" s="4">
        <f t="shared" si="2"/>
        <v>912</v>
      </c>
      <c r="R5" s="4">
        <f t="shared" si="2"/>
        <v>954</v>
      </c>
      <c r="S5" s="4">
        <f t="shared" si="2"/>
        <v>996</v>
      </c>
      <c r="T5" s="4">
        <f t="shared" si="2"/>
        <v>1038</v>
      </c>
      <c r="U5" s="4">
        <f t="shared" si="2"/>
        <v>1080</v>
      </c>
      <c r="V5" s="4">
        <f t="shared" si="2"/>
        <v>1122</v>
      </c>
      <c r="W5" s="4">
        <f t="shared" si="2"/>
        <v>1164</v>
      </c>
      <c r="X5" s="4">
        <f t="shared" si="2"/>
        <v>1206</v>
      </c>
      <c r="Y5" s="4">
        <f t="shared" ref="Y5" si="3">+X5+Y6</f>
        <v>1248</v>
      </c>
      <c r="Z5" s="4">
        <f t="shared" ref="Z5" si="4">+Y5+Z6</f>
        <v>1290</v>
      </c>
      <c r="AA5" s="4">
        <f t="shared" ref="AA5" si="5">+Z5+AA6</f>
        <v>1332</v>
      </c>
      <c r="AB5" s="4">
        <f t="shared" ref="AB5" si="6">+AA5+AB6</f>
        <v>1376</v>
      </c>
      <c r="AC5" s="4">
        <f t="shared" ref="AC5" si="7">+AB5+AC6</f>
        <v>1376</v>
      </c>
    </row>
    <row r="6" spans="1:29" x14ac:dyDescent="0.25">
      <c r="A6" s="1" t="s">
        <v>68</v>
      </c>
      <c r="D6" s="3">
        <v>47</v>
      </c>
      <c r="E6" s="3">
        <v>45</v>
      </c>
      <c r="F6" s="3">
        <v>44</v>
      </c>
      <c r="G6" s="3">
        <v>42</v>
      </c>
      <c r="H6" s="3">
        <v>34</v>
      </c>
      <c r="I6" s="3">
        <v>37</v>
      </c>
      <c r="J6" s="66">
        <v>37</v>
      </c>
      <c r="K6" s="28">
        <v>42</v>
      </c>
      <c r="L6" s="3">
        <v>42</v>
      </c>
      <c r="M6" s="3">
        <v>42</v>
      </c>
      <c r="N6" s="3">
        <v>42</v>
      </c>
      <c r="O6" s="3">
        <v>42</v>
      </c>
      <c r="P6" s="3">
        <v>42</v>
      </c>
      <c r="Q6" s="3">
        <v>42</v>
      </c>
      <c r="R6" s="3">
        <v>42</v>
      </c>
      <c r="S6" s="3">
        <v>42</v>
      </c>
      <c r="T6" s="3">
        <v>42</v>
      </c>
      <c r="U6" s="3">
        <v>42</v>
      </c>
      <c r="V6" s="3">
        <v>42</v>
      </c>
      <c r="W6" s="3">
        <v>42</v>
      </c>
      <c r="X6" s="3">
        <v>42</v>
      </c>
      <c r="Y6" s="3">
        <v>42</v>
      </c>
      <c r="Z6" s="3">
        <v>42</v>
      </c>
      <c r="AA6" s="3">
        <v>42</v>
      </c>
      <c r="AB6" s="3">
        <v>44</v>
      </c>
      <c r="AC6" s="3">
        <v>0</v>
      </c>
    </row>
    <row r="7" spans="1:29" s="105" customFormat="1" x14ac:dyDescent="0.25">
      <c r="A7" s="105" t="s">
        <v>32</v>
      </c>
      <c r="D7" s="106">
        <f>+D8/C8-1</f>
        <v>9.8654708520179435E-2</v>
      </c>
      <c r="E7" s="106">
        <v>0</v>
      </c>
      <c r="F7" s="106">
        <v>0.05</v>
      </c>
      <c r="G7" s="106">
        <v>0.05</v>
      </c>
      <c r="H7" s="107">
        <f t="shared" ref="H7:X7" si="8">+G7</f>
        <v>0.05</v>
      </c>
      <c r="I7" s="107">
        <f t="shared" si="8"/>
        <v>0.05</v>
      </c>
      <c r="J7" s="108">
        <f t="shared" si="8"/>
        <v>0.05</v>
      </c>
      <c r="K7" s="109">
        <v>0</v>
      </c>
      <c r="L7" s="110">
        <v>0.05</v>
      </c>
      <c r="M7" s="110">
        <f t="shared" si="8"/>
        <v>0.05</v>
      </c>
      <c r="N7" s="110">
        <f t="shared" si="8"/>
        <v>0.05</v>
      </c>
      <c r="O7" s="110">
        <f t="shared" si="8"/>
        <v>0.05</v>
      </c>
      <c r="P7" s="110">
        <v>0.05</v>
      </c>
      <c r="Q7" s="110">
        <f t="shared" si="8"/>
        <v>0.05</v>
      </c>
      <c r="R7" s="110">
        <f t="shared" si="8"/>
        <v>0.05</v>
      </c>
      <c r="S7" s="110">
        <f t="shared" si="8"/>
        <v>0.05</v>
      </c>
      <c r="T7" s="110">
        <f t="shared" si="8"/>
        <v>0.05</v>
      </c>
      <c r="U7" s="110">
        <f t="shared" si="8"/>
        <v>0.05</v>
      </c>
      <c r="V7" s="110">
        <f t="shared" si="8"/>
        <v>0.05</v>
      </c>
      <c r="W7" s="110">
        <f t="shared" si="8"/>
        <v>0.05</v>
      </c>
      <c r="X7" s="110">
        <f t="shared" si="8"/>
        <v>0.05</v>
      </c>
      <c r="Y7" s="110">
        <f t="shared" ref="Y7" si="9">+X7</f>
        <v>0.05</v>
      </c>
      <c r="Z7" s="110">
        <f t="shared" ref="Z7" si="10">+Y7</f>
        <v>0.05</v>
      </c>
      <c r="AA7" s="110">
        <f t="shared" ref="AA7" si="11">+Z7</f>
        <v>0.05</v>
      </c>
      <c r="AB7" s="110">
        <f t="shared" ref="AB7" si="12">+AA7</f>
        <v>0.05</v>
      </c>
      <c r="AC7" s="110">
        <f t="shared" ref="AC7" si="13">+AB7</f>
        <v>0.05</v>
      </c>
    </row>
    <row r="8" spans="1:29" x14ac:dyDescent="0.25">
      <c r="A8" t="s">
        <v>3</v>
      </c>
      <c r="C8" s="3">
        <f>55.75*12</f>
        <v>669</v>
      </c>
      <c r="D8" s="3">
        <v>735</v>
      </c>
      <c r="E8" s="3">
        <v>735</v>
      </c>
      <c r="F8" s="3">
        <v>772</v>
      </c>
      <c r="G8" s="3">
        <v>810</v>
      </c>
      <c r="H8" s="43">
        <v>850</v>
      </c>
      <c r="I8" s="43">
        <v>892</v>
      </c>
      <c r="J8" s="68">
        <v>936</v>
      </c>
      <c r="K8" s="24">
        <f t="shared" ref="K8:X8" si="14">+J8*(1+K7)</f>
        <v>936</v>
      </c>
      <c r="L8" s="4">
        <f t="shared" si="14"/>
        <v>982.80000000000007</v>
      </c>
      <c r="M8" s="4">
        <f t="shared" si="14"/>
        <v>1031.94</v>
      </c>
      <c r="N8" s="4">
        <f t="shared" si="14"/>
        <v>1083.537</v>
      </c>
      <c r="O8" s="4">
        <f t="shared" si="14"/>
        <v>1137.7138500000001</v>
      </c>
      <c r="P8" s="4">
        <f t="shared" si="14"/>
        <v>1194.5995425000001</v>
      </c>
      <c r="Q8" s="4">
        <f t="shared" si="14"/>
        <v>1254.3295196250001</v>
      </c>
      <c r="R8" s="4">
        <f t="shared" si="14"/>
        <v>1317.0459956062502</v>
      </c>
      <c r="S8" s="4">
        <f t="shared" si="14"/>
        <v>1382.8982953865627</v>
      </c>
      <c r="T8" s="4">
        <f t="shared" si="14"/>
        <v>1452.0432101558908</v>
      </c>
      <c r="U8" s="4">
        <f t="shared" si="14"/>
        <v>1524.6453706636855</v>
      </c>
      <c r="V8" s="4">
        <f t="shared" si="14"/>
        <v>1600.8776391968699</v>
      </c>
      <c r="W8" s="4">
        <f t="shared" si="14"/>
        <v>1680.9215211567134</v>
      </c>
      <c r="X8" s="4">
        <f t="shared" si="14"/>
        <v>1764.9675972145492</v>
      </c>
      <c r="Y8" s="4">
        <f t="shared" ref="Y8" si="15">+X8*(1+Y7)</f>
        <v>1853.2159770752767</v>
      </c>
      <c r="Z8" s="4">
        <f t="shared" ref="Z8" si="16">+Y8*(1+Z7)</f>
        <v>1945.8767759290406</v>
      </c>
      <c r="AA8" s="4">
        <f t="shared" ref="AA8" si="17">+Z8*(1+AA7)</f>
        <v>2043.1706147254927</v>
      </c>
      <c r="AB8" s="4">
        <f t="shared" ref="AB8" si="18">+AA8*(1+AB7)</f>
        <v>2145.3291454617674</v>
      </c>
      <c r="AC8" s="4">
        <f t="shared" ref="AC8" si="19">+AB8*(1+AC7)</f>
        <v>2252.5956027348561</v>
      </c>
    </row>
    <row r="9" spans="1:29" x14ac:dyDescent="0.25">
      <c r="A9" t="s">
        <v>4</v>
      </c>
      <c r="E9" s="44"/>
      <c r="F9" s="51"/>
      <c r="G9" s="44"/>
      <c r="H9" s="44"/>
      <c r="I9" s="44"/>
      <c r="J9" s="97"/>
      <c r="K9" s="47"/>
      <c r="L9" s="17">
        <v>2.5000000000000001E-2</v>
      </c>
      <c r="M9" s="17">
        <f t="shared" ref="M9:X10" si="20">+L9</f>
        <v>2.5000000000000001E-2</v>
      </c>
      <c r="N9" s="17">
        <f t="shared" si="20"/>
        <v>2.5000000000000001E-2</v>
      </c>
      <c r="O9" s="17">
        <f t="shared" si="20"/>
        <v>2.5000000000000001E-2</v>
      </c>
      <c r="P9" s="17">
        <f t="shared" si="20"/>
        <v>2.5000000000000001E-2</v>
      </c>
      <c r="Q9" s="17">
        <f t="shared" si="20"/>
        <v>2.5000000000000001E-2</v>
      </c>
      <c r="R9" s="17">
        <f t="shared" si="20"/>
        <v>2.5000000000000001E-2</v>
      </c>
      <c r="S9" s="17">
        <f t="shared" si="20"/>
        <v>2.5000000000000001E-2</v>
      </c>
      <c r="T9" s="17">
        <f t="shared" si="20"/>
        <v>2.5000000000000001E-2</v>
      </c>
      <c r="U9" s="17">
        <f t="shared" si="20"/>
        <v>2.5000000000000001E-2</v>
      </c>
      <c r="V9" s="17">
        <f t="shared" si="20"/>
        <v>2.5000000000000001E-2</v>
      </c>
      <c r="W9" s="17">
        <f t="shared" si="20"/>
        <v>2.5000000000000001E-2</v>
      </c>
      <c r="X9" s="17">
        <f t="shared" si="20"/>
        <v>2.5000000000000001E-2</v>
      </c>
      <c r="Y9" s="17">
        <f t="shared" ref="Y9:Y10" si="21">+X9</f>
        <v>2.5000000000000001E-2</v>
      </c>
      <c r="Z9" s="17">
        <f t="shared" ref="Z9:Z10" si="22">+Y9</f>
        <v>2.5000000000000001E-2</v>
      </c>
      <c r="AA9" s="17">
        <f t="shared" ref="AA9:AA10" si="23">+Z9</f>
        <v>2.5000000000000001E-2</v>
      </c>
      <c r="AB9" s="17">
        <f t="shared" ref="AB9:AB10" si="24">+AA9</f>
        <v>2.5000000000000001E-2</v>
      </c>
      <c r="AC9" s="17">
        <f t="shared" ref="AC9" si="25">+AB9</f>
        <v>2.5000000000000001E-2</v>
      </c>
    </row>
    <row r="10" spans="1:29" x14ac:dyDescent="0.25">
      <c r="A10" t="s">
        <v>24</v>
      </c>
      <c r="E10" s="45"/>
      <c r="F10" s="45"/>
      <c r="G10" s="45"/>
      <c r="H10" s="45"/>
      <c r="I10" s="45"/>
      <c r="J10" s="70"/>
      <c r="K10" s="37"/>
      <c r="L10" s="16">
        <v>15</v>
      </c>
      <c r="M10" s="16">
        <f>+L10</f>
        <v>15</v>
      </c>
      <c r="N10" s="16">
        <f t="shared" si="20"/>
        <v>15</v>
      </c>
      <c r="O10" s="16">
        <f t="shared" si="20"/>
        <v>15</v>
      </c>
      <c r="P10" s="16">
        <f t="shared" si="20"/>
        <v>15</v>
      </c>
      <c r="Q10" s="16">
        <f t="shared" si="20"/>
        <v>15</v>
      </c>
      <c r="R10" s="16">
        <f t="shared" si="20"/>
        <v>15</v>
      </c>
      <c r="S10" s="16">
        <f t="shared" si="20"/>
        <v>15</v>
      </c>
      <c r="T10" s="16">
        <f t="shared" si="20"/>
        <v>15</v>
      </c>
      <c r="U10" s="16">
        <f t="shared" si="20"/>
        <v>15</v>
      </c>
      <c r="V10" s="16">
        <f t="shared" si="20"/>
        <v>15</v>
      </c>
      <c r="W10" s="16">
        <f t="shared" si="20"/>
        <v>15</v>
      </c>
      <c r="X10" s="16">
        <f t="shared" si="20"/>
        <v>15</v>
      </c>
      <c r="Y10" s="16">
        <f t="shared" si="21"/>
        <v>15</v>
      </c>
      <c r="Z10" s="16">
        <f t="shared" si="22"/>
        <v>15</v>
      </c>
      <c r="AA10" s="16">
        <f t="shared" si="23"/>
        <v>15</v>
      </c>
      <c r="AB10" s="16">
        <f t="shared" si="24"/>
        <v>15</v>
      </c>
      <c r="AC10" s="16">
        <v>0</v>
      </c>
    </row>
    <row r="11" spans="1:29" x14ac:dyDescent="0.25">
      <c r="A11" t="s">
        <v>25</v>
      </c>
      <c r="D11" s="18">
        <v>4.2500000000000003E-2</v>
      </c>
      <c r="E11" s="46">
        <v>4.2500000000000003E-2</v>
      </c>
      <c r="F11" s="46">
        <v>4.2500000000000003E-2</v>
      </c>
      <c r="G11" s="62">
        <v>3.2500000000000001E-2</v>
      </c>
      <c r="H11" s="62">
        <v>3.2500000000000001E-2</v>
      </c>
      <c r="I11" s="62">
        <v>3.2500000000000001E-2</v>
      </c>
      <c r="J11" s="98">
        <v>3.2500000000000001E-2</v>
      </c>
      <c r="K11" s="38">
        <v>3.2500000000000001E-2</v>
      </c>
      <c r="L11" s="18">
        <v>3.2500000000000001E-2</v>
      </c>
      <c r="M11" s="18">
        <v>3.2500000000000001E-2</v>
      </c>
      <c r="N11" s="18">
        <v>3.2500000000000001E-2</v>
      </c>
      <c r="O11" s="18">
        <v>3.2500000000000001E-2</v>
      </c>
      <c r="P11" s="18">
        <v>3.2500000000000001E-2</v>
      </c>
      <c r="Q11" s="18">
        <v>3.2500000000000001E-2</v>
      </c>
      <c r="R11" s="18">
        <v>3.2500000000000001E-2</v>
      </c>
      <c r="S11" s="18">
        <v>3.2500000000000001E-2</v>
      </c>
      <c r="T11" s="18">
        <v>3.2500000000000001E-2</v>
      </c>
      <c r="U11" s="18">
        <v>3.2500000000000001E-2</v>
      </c>
      <c r="V11" s="18">
        <v>3.2500000000000001E-2</v>
      </c>
      <c r="W11" s="18">
        <v>3.2500000000000001E-2</v>
      </c>
      <c r="X11" s="18">
        <v>3.2500000000000001E-2</v>
      </c>
      <c r="Y11" s="18">
        <v>3.2500000000000001E-2</v>
      </c>
      <c r="Z11" s="18">
        <v>3.2500000000000001E-2</v>
      </c>
      <c r="AA11" s="18">
        <v>3.2500000000000001E-2</v>
      </c>
      <c r="AB11" s="18">
        <v>3.2500000000000001E-2</v>
      </c>
      <c r="AC11" s="18">
        <v>3.2500000000000001E-2</v>
      </c>
    </row>
    <row r="12" spans="1:29" x14ac:dyDescent="0.25">
      <c r="J12" s="65"/>
      <c r="K12" s="21"/>
    </row>
    <row r="13" spans="1:29" x14ac:dyDescent="0.25">
      <c r="A13" s="7" t="s">
        <v>41</v>
      </c>
      <c r="I13" s="58"/>
      <c r="J13" s="65"/>
      <c r="K13" s="115"/>
    </row>
    <row r="14" spans="1:29" x14ac:dyDescent="0.25">
      <c r="A14" t="s">
        <v>2</v>
      </c>
      <c r="C14" s="3">
        <v>214</v>
      </c>
      <c r="D14" s="3">
        <v>267</v>
      </c>
      <c r="E14" s="3">
        <v>297</v>
      </c>
      <c r="F14" s="34">
        <v>348</v>
      </c>
      <c r="G14" s="34">
        <v>398</v>
      </c>
      <c r="H14" s="34">
        <v>447</v>
      </c>
      <c r="I14" s="3">
        <v>506</v>
      </c>
      <c r="J14" s="68">
        <v>562</v>
      </c>
      <c r="K14" s="24">
        <v>597</v>
      </c>
      <c r="L14" s="4">
        <f t="shared" ref="L14:X14" si="26">+(L5+K5)/2*L8/1000</f>
        <v>669.28680000000008</v>
      </c>
      <c r="M14" s="4">
        <f t="shared" si="26"/>
        <v>746.09262000000001</v>
      </c>
      <c r="N14" s="4">
        <f t="shared" si="26"/>
        <v>828.9058050000001</v>
      </c>
      <c r="O14" s="4">
        <f t="shared" si="26"/>
        <v>918.1350769500001</v>
      </c>
      <c r="P14" s="4">
        <f t="shared" si="26"/>
        <v>1014.2150115825001</v>
      </c>
      <c r="Q14" s="4">
        <f t="shared" si="26"/>
        <v>1117.6076019858751</v>
      </c>
      <c r="R14" s="4">
        <f t="shared" si="26"/>
        <v>1228.8039139006314</v>
      </c>
      <c r="S14" s="4">
        <f t="shared" si="26"/>
        <v>1348.3258380018988</v>
      </c>
      <c r="T14" s="4">
        <f t="shared" si="26"/>
        <v>1476.7279447285409</v>
      </c>
      <c r="U14" s="4">
        <f t="shared" si="26"/>
        <v>1614.5994475328428</v>
      </c>
      <c r="V14" s="4">
        <f t="shared" si="26"/>
        <v>1762.566280755754</v>
      </c>
      <c r="W14" s="4">
        <f t="shared" si="26"/>
        <v>1921.2932986821233</v>
      </c>
      <c r="X14" s="4">
        <f t="shared" si="26"/>
        <v>2091.4866026992408</v>
      </c>
      <c r="Y14" s="4">
        <f t="shared" ref="Y14" si="27">+(Y5+X5)/2*Y8/1000</f>
        <v>2273.8960038713644</v>
      </c>
      <c r="Z14" s="4">
        <f t="shared" ref="Z14" si="28">+(Z5+Y5)/2*Z8/1000</f>
        <v>2469.3176286539524</v>
      </c>
      <c r="AA14" s="4">
        <f t="shared" ref="AA14" si="29">+(AA5+Z5)/2*AA8/1000</f>
        <v>2678.5966759051212</v>
      </c>
      <c r="AB14" s="4">
        <f t="shared" ref="AB14" si="30">+(AB5+AA5)/2*AB8/1000</f>
        <v>2904.7756629552327</v>
      </c>
      <c r="AC14" s="4">
        <f t="shared" ref="AC14" si="31">+(AC5+AB5)/2*AC8/1000</f>
        <v>3099.5715493631619</v>
      </c>
    </row>
    <row r="15" spans="1:29" x14ac:dyDescent="0.25">
      <c r="A15" t="s">
        <v>5</v>
      </c>
      <c r="C15" s="3">
        <v>5</v>
      </c>
      <c r="D15" s="3">
        <v>5</v>
      </c>
      <c r="E15" s="3">
        <v>5</v>
      </c>
      <c r="F15" s="34">
        <v>5</v>
      </c>
      <c r="G15" s="34">
        <v>5</v>
      </c>
      <c r="H15" s="34">
        <v>5</v>
      </c>
      <c r="I15" s="3">
        <v>5</v>
      </c>
      <c r="J15" s="68">
        <v>6</v>
      </c>
      <c r="K15" s="24">
        <v>0</v>
      </c>
      <c r="L15" s="4">
        <f t="shared" ref="L15:X16" si="32">+K15*(1+L$9)</f>
        <v>0</v>
      </c>
      <c r="M15" s="4">
        <f t="shared" si="32"/>
        <v>0</v>
      </c>
      <c r="N15" s="4">
        <f t="shared" si="32"/>
        <v>0</v>
      </c>
      <c r="O15" s="4">
        <f t="shared" si="32"/>
        <v>0</v>
      </c>
      <c r="P15" s="4">
        <f t="shared" si="32"/>
        <v>0</v>
      </c>
      <c r="Q15" s="4">
        <f t="shared" si="32"/>
        <v>0</v>
      </c>
      <c r="R15" s="4">
        <f t="shared" si="32"/>
        <v>0</v>
      </c>
      <c r="S15" s="4">
        <f t="shared" si="32"/>
        <v>0</v>
      </c>
      <c r="T15" s="4">
        <f t="shared" si="32"/>
        <v>0</v>
      </c>
      <c r="U15" s="4">
        <f t="shared" si="32"/>
        <v>0</v>
      </c>
      <c r="V15" s="4">
        <f t="shared" si="32"/>
        <v>0</v>
      </c>
      <c r="W15" s="4">
        <f t="shared" si="32"/>
        <v>0</v>
      </c>
      <c r="X15" s="4">
        <f t="shared" si="32"/>
        <v>0</v>
      </c>
      <c r="Y15" s="4">
        <f t="shared" ref="Y15:Y16" si="33">+X15*(1+Y$9)</f>
        <v>0</v>
      </c>
      <c r="Z15" s="4">
        <f t="shared" ref="Z15:Z16" si="34">+Y15*(1+Z$9)</f>
        <v>0</v>
      </c>
      <c r="AA15" s="4">
        <f t="shared" ref="AA15:AA16" si="35">+Z15*(1+AA$9)</f>
        <v>0</v>
      </c>
      <c r="AB15" s="4">
        <f t="shared" ref="AB15:AB16" si="36">+AA15*(1+AB$9)</f>
        <v>0</v>
      </c>
      <c r="AC15" s="4">
        <f t="shared" ref="AC15:AC16" si="37">+AB15*(1+AC$9)</f>
        <v>0</v>
      </c>
    </row>
    <row r="16" spans="1:29" x14ac:dyDescent="0.25">
      <c r="A16" t="s">
        <v>39</v>
      </c>
      <c r="C16" s="3">
        <v>4</v>
      </c>
      <c r="D16" s="3">
        <v>3</v>
      </c>
      <c r="E16" s="3">
        <v>20</v>
      </c>
      <c r="F16" s="34">
        <v>5</v>
      </c>
      <c r="G16" s="34">
        <v>5</v>
      </c>
      <c r="H16" s="34">
        <v>5</v>
      </c>
      <c r="I16" s="3">
        <v>13</v>
      </c>
      <c r="J16" s="68">
        <v>23</v>
      </c>
      <c r="K16" s="24">
        <v>31</v>
      </c>
      <c r="L16" s="4">
        <v>10</v>
      </c>
      <c r="M16" s="4">
        <f t="shared" si="32"/>
        <v>10.25</v>
      </c>
      <c r="N16" s="4">
        <f t="shared" si="32"/>
        <v>10.50625</v>
      </c>
      <c r="O16" s="4">
        <f t="shared" si="32"/>
        <v>10.768906249999999</v>
      </c>
      <c r="P16" s="4">
        <f t="shared" si="32"/>
        <v>11.038128906249998</v>
      </c>
      <c r="Q16" s="4">
        <f t="shared" si="32"/>
        <v>11.314082128906247</v>
      </c>
      <c r="R16" s="4">
        <f t="shared" si="32"/>
        <v>11.596934182128901</v>
      </c>
      <c r="S16" s="4">
        <f t="shared" si="32"/>
        <v>11.886857536682124</v>
      </c>
      <c r="T16" s="4">
        <f t="shared" si="32"/>
        <v>12.184028975099176</v>
      </c>
      <c r="U16" s="4">
        <f t="shared" si="32"/>
        <v>12.488629699476654</v>
      </c>
      <c r="V16" s="4">
        <f t="shared" si="32"/>
        <v>12.800845441963569</v>
      </c>
      <c r="W16" s="4">
        <f t="shared" si="32"/>
        <v>13.120866578012656</v>
      </c>
      <c r="X16" s="4">
        <f t="shared" si="32"/>
        <v>13.448888242462971</v>
      </c>
      <c r="Y16" s="4">
        <f t="shared" si="33"/>
        <v>13.785110448524543</v>
      </c>
      <c r="Z16" s="4">
        <f t="shared" si="34"/>
        <v>14.129738209737656</v>
      </c>
      <c r="AA16" s="4">
        <f t="shared" si="35"/>
        <v>14.482981664981097</v>
      </c>
      <c r="AB16" s="4">
        <f t="shared" si="36"/>
        <v>14.845056206605623</v>
      </c>
      <c r="AC16" s="4">
        <f t="shared" si="37"/>
        <v>15.216182611770762</v>
      </c>
    </row>
    <row r="17" spans="1:29" x14ac:dyDescent="0.25">
      <c r="A17" t="s">
        <v>6</v>
      </c>
      <c r="C17" s="34">
        <v>0</v>
      </c>
      <c r="D17" s="34">
        <v>0</v>
      </c>
      <c r="E17" s="34">
        <v>0</v>
      </c>
      <c r="F17" s="34">
        <v>0</v>
      </c>
      <c r="G17" s="34">
        <v>0</v>
      </c>
      <c r="H17" s="95">
        <v>0</v>
      </c>
      <c r="I17" s="3">
        <v>0</v>
      </c>
      <c r="J17" s="68">
        <v>0</v>
      </c>
      <c r="K17" s="24">
        <v>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4">
        <v>0</v>
      </c>
      <c r="R17" s="4">
        <v>0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1</v>
      </c>
      <c r="Z17" s="4">
        <v>2</v>
      </c>
      <c r="AA17" s="4">
        <v>3</v>
      </c>
      <c r="AB17" s="4">
        <v>4</v>
      </c>
      <c r="AC17" s="4">
        <v>5</v>
      </c>
    </row>
    <row r="18" spans="1:29" x14ac:dyDescent="0.25">
      <c r="A18" t="s">
        <v>12</v>
      </c>
      <c r="C18" s="3">
        <f>940-77-359</f>
        <v>504</v>
      </c>
      <c r="D18" s="3">
        <v>580</v>
      </c>
      <c r="E18" s="3">
        <v>672</v>
      </c>
      <c r="F18" s="52">
        <v>696</v>
      </c>
      <c r="G18" s="52">
        <v>717</v>
      </c>
      <c r="H18" s="8">
        <v>669</v>
      </c>
      <c r="I18" s="10">
        <v>592</v>
      </c>
      <c r="J18" s="72">
        <v>573</v>
      </c>
      <c r="K18" s="39">
        <v>611</v>
      </c>
      <c r="L18" s="10">
        <f t="shared" ref="L18:X18" si="38">+K18*(1+L9)+L10</f>
        <v>641.27499999999998</v>
      </c>
      <c r="M18" s="10">
        <f t="shared" si="38"/>
        <v>672.30687499999988</v>
      </c>
      <c r="N18" s="10">
        <f t="shared" si="38"/>
        <v>704.11454687499986</v>
      </c>
      <c r="O18" s="10">
        <f t="shared" si="38"/>
        <v>736.71741054687482</v>
      </c>
      <c r="P18" s="10">
        <f t="shared" si="38"/>
        <v>770.1353458105466</v>
      </c>
      <c r="Q18" s="10">
        <f t="shared" si="38"/>
        <v>804.38872945581022</v>
      </c>
      <c r="R18" s="10">
        <f t="shared" si="38"/>
        <v>839.49844769220545</v>
      </c>
      <c r="S18" s="10">
        <f t="shared" si="38"/>
        <v>875.48590888451054</v>
      </c>
      <c r="T18" s="10">
        <f t="shared" si="38"/>
        <v>912.37305660662321</v>
      </c>
      <c r="U18" s="10">
        <f t="shared" si="38"/>
        <v>950.18238302178872</v>
      </c>
      <c r="V18" s="10">
        <f t="shared" si="38"/>
        <v>988.93694259733331</v>
      </c>
      <c r="W18" s="10">
        <f t="shared" si="38"/>
        <v>1028.6603661622667</v>
      </c>
      <c r="X18" s="10">
        <f t="shared" si="38"/>
        <v>1069.3768753163233</v>
      </c>
      <c r="Y18" s="10">
        <f t="shared" ref="Y18" si="39">+X18*(1+Y9)+Y10</f>
        <v>1111.1112971992313</v>
      </c>
      <c r="Z18" s="10">
        <f t="shared" ref="Z18" si="40">+Y18*(1+Z9)+Z10</f>
        <v>1153.8890796292121</v>
      </c>
      <c r="AA18" s="10">
        <f t="shared" ref="AA18" si="41">+Z18*(1+AA9)+AA10</f>
        <v>1197.7363066199423</v>
      </c>
      <c r="AB18" s="10">
        <f t="shared" ref="AB18" si="42">+AA18*(1+AB9)+AB10</f>
        <v>1242.6797142854407</v>
      </c>
      <c r="AC18" s="10">
        <f t="shared" ref="AC18" si="43">+AB18*(1+AC9)+AC10</f>
        <v>1273.7467071425765</v>
      </c>
    </row>
    <row r="19" spans="1:29" x14ac:dyDescent="0.25">
      <c r="A19" s="6" t="s">
        <v>43</v>
      </c>
      <c r="C19" s="13">
        <f>SUM(C14:C18)</f>
        <v>727</v>
      </c>
      <c r="D19" s="35">
        <f t="shared" ref="D19:X19" si="44">SUM(D14:D18)</f>
        <v>855</v>
      </c>
      <c r="E19" s="35">
        <f t="shared" si="44"/>
        <v>994</v>
      </c>
      <c r="F19" s="35">
        <f t="shared" si="44"/>
        <v>1054</v>
      </c>
      <c r="G19" s="35">
        <f t="shared" si="44"/>
        <v>1125</v>
      </c>
      <c r="H19" s="35">
        <f t="shared" si="44"/>
        <v>1126</v>
      </c>
      <c r="I19" s="35">
        <f t="shared" si="44"/>
        <v>1116</v>
      </c>
      <c r="J19" s="74">
        <f t="shared" si="44"/>
        <v>1164</v>
      </c>
      <c r="K19" s="29">
        <f t="shared" si="44"/>
        <v>1239</v>
      </c>
      <c r="L19" s="13">
        <f t="shared" si="44"/>
        <v>1320.5617999999999</v>
      </c>
      <c r="M19" s="13">
        <f t="shared" si="44"/>
        <v>1428.6494949999999</v>
      </c>
      <c r="N19" s="13">
        <f t="shared" si="44"/>
        <v>1543.5266018749999</v>
      </c>
      <c r="O19" s="13">
        <f t="shared" si="44"/>
        <v>1665.6213937468749</v>
      </c>
      <c r="P19" s="13">
        <f t="shared" si="44"/>
        <v>1795.3884862992968</v>
      </c>
      <c r="Q19" s="13">
        <f t="shared" si="44"/>
        <v>1933.3104135705917</v>
      </c>
      <c r="R19" s="13">
        <f t="shared" si="44"/>
        <v>2079.899295774966</v>
      </c>
      <c r="S19" s="13">
        <f t="shared" si="44"/>
        <v>2235.6986044230916</v>
      </c>
      <c r="T19" s="13">
        <f t="shared" si="44"/>
        <v>2401.2850303102632</v>
      </c>
      <c r="U19" s="13">
        <f t="shared" si="44"/>
        <v>2577.270460254108</v>
      </c>
      <c r="V19" s="13">
        <f t="shared" si="44"/>
        <v>2764.3040687950506</v>
      </c>
      <c r="W19" s="13">
        <f t="shared" si="44"/>
        <v>2963.0745314224027</v>
      </c>
      <c r="X19" s="13">
        <f t="shared" si="44"/>
        <v>3174.3123662580274</v>
      </c>
      <c r="Y19" s="13">
        <f t="shared" ref="Y19:AC19" si="45">SUM(Y14:Y18)</f>
        <v>3399.7924115191199</v>
      </c>
      <c r="Z19" s="13">
        <f t="shared" si="45"/>
        <v>3639.3364464929023</v>
      </c>
      <c r="AA19" s="13">
        <f t="shared" si="45"/>
        <v>3893.8159641900447</v>
      </c>
      <c r="AB19" s="13">
        <f t="shared" si="45"/>
        <v>4166.3004334472789</v>
      </c>
      <c r="AC19" s="13">
        <f t="shared" si="45"/>
        <v>4393.5344391175095</v>
      </c>
    </row>
    <row r="20" spans="1:29" x14ac:dyDescent="0.25">
      <c r="A20" s="56" t="s">
        <v>53</v>
      </c>
      <c r="D20" s="55">
        <f>+D19/C19-1</f>
        <v>0.17606602475928468</v>
      </c>
      <c r="E20" s="55">
        <f t="shared" ref="E20:X20" si="46">+E19/D19-1</f>
        <v>0.16257309941520459</v>
      </c>
      <c r="F20" s="55">
        <f t="shared" si="46"/>
        <v>6.0362173038229328E-2</v>
      </c>
      <c r="G20" s="55">
        <f t="shared" si="46"/>
        <v>6.7362428842504762E-2</v>
      </c>
      <c r="H20" s="55">
        <f t="shared" si="46"/>
        <v>8.8888888888893902E-4</v>
      </c>
      <c r="I20" s="55">
        <f t="shared" si="46"/>
        <v>-8.8809946714032417E-3</v>
      </c>
      <c r="J20" s="75">
        <f t="shared" si="46"/>
        <v>4.3010752688172005E-2</v>
      </c>
      <c r="K20" s="57">
        <f t="shared" si="46"/>
        <v>6.4432989690721643E-2</v>
      </c>
      <c r="L20" s="55">
        <f t="shared" si="46"/>
        <v>6.5828732849071869E-2</v>
      </c>
      <c r="M20" s="55">
        <f t="shared" si="46"/>
        <v>8.1849781661108123E-2</v>
      </c>
      <c r="N20" s="55">
        <f t="shared" si="46"/>
        <v>8.0409580710347761E-2</v>
      </c>
      <c r="O20" s="55">
        <f t="shared" si="46"/>
        <v>7.9101190561640111E-2</v>
      </c>
      <c r="P20" s="55">
        <f t="shared" si="46"/>
        <v>7.7909117305767994E-2</v>
      </c>
      <c r="Q20" s="55">
        <f t="shared" si="46"/>
        <v>7.6820102347644692E-2</v>
      </c>
      <c r="R20" s="55">
        <f t="shared" si="46"/>
        <v>7.5822734505237799E-2</v>
      </c>
      <c r="S20" s="55">
        <f t="shared" si="46"/>
        <v>7.4907140439256281E-2</v>
      </c>
      <c r="T20" s="55">
        <f t="shared" si="46"/>
        <v>7.4064735541533366E-2</v>
      </c>
      <c r="U20" s="55">
        <f t="shared" si="46"/>
        <v>7.3288021922622848E-2</v>
      </c>
      <c r="V20" s="55">
        <f t="shared" si="46"/>
        <v>7.257042340930786E-2</v>
      </c>
      <c r="W20" s="55">
        <f t="shared" si="46"/>
        <v>7.1906149859264801E-2</v>
      </c>
      <c r="X20" s="55">
        <f t="shared" si="46"/>
        <v>7.129008487485522E-2</v>
      </c>
      <c r="Y20" s="55">
        <f t="shared" ref="Y20" si="47">+Y19/X19-1</f>
        <v>7.1032721183295289E-2</v>
      </c>
      <c r="Z20" s="55">
        <f t="shared" ref="Z20" si="48">+Z19/Y19-1</f>
        <v>7.0458429803585521E-2</v>
      </c>
      <c r="AA20" s="55">
        <f t="shared" ref="AA20" si="49">+AA19/Z19-1</f>
        <v>6.9924702329287269E-2</v>
      </c>
      <c r="AB20" s="55">
        <f t="shared" ref="AB20" si="50">+AB19/AA19-1</f>
        <v>6.9978774488360873E-2</v>
      </c>
      <c r="AC20" s="55">
        <f t="shared" ref="AC20" si="51">+AC19/AB19-1</f>
        <v>5.4540955291169979E-2</v>
      </c>
    </row>
    <row r="21" spans="1:29" x14ac:dyDescent="0.25">
      <c r="A21" s="7" t="s">
        <v>44</v>
      </c>
      <c r="J21" s="65"/>
      <c r="K21" s="21"/>
    </row>
    <row r="22" spans="1:29" x14ac:dyDescent="0.25">
      <c r="A22" t="s">
        <v>40</v>
      </c>
      <c r="C22" s="8">
        <f>508-178+42</f>
        <v>372</v>
      </c>
      <c r="D22" s="8">
        <v>347</v>
      </c>
      <c r="E22" s="8">
        <f>563-229+46</f>
        <v>380</v>
      </c>
      <c r="F22" s="8">
        <f>589-252+43</f>
        <v>380</v>
      </c>
      <c r="G22" s="8">
        <f>45+565-207</f>
        <v>403</v>
      </c>
      <c r="H22" s="8">
        <f>598-221+48</f>
        <v>425</v>
      </c>
      <c r="I22" s="100">
        <f>440+51</f>
        <v>491</v>
      </c>
      <c r="J22" s="92">
        <f>395+49+4-19+10</f>
        <v>439</v>
      </c>
      <c r="K22" s="40">
        <f>342+57+3</f>
        <v>402</v>
      </c>
      <c r="L22" s="9">
        <f t="shared" ref="L22:X23" si="52">+K22*(1+L$9)</f>
        <v>412.04999999999995</v>
      </c>
      <c r="M22" s="9">
        <f t="shared" si="52"/>
        <v>422.35124999999994</v>
      </c>
      <c r="N22" s="9">
        <f t="shared" si="52"/>
        <v>432.91003124999992</v>
      </c>
      <c r="O22" s="9">
        <f t="shared" si="52"/>
        <v>443.73278203124988</v>
      </c>
      <c r="P22" s="9">
        <f t="shared" si="52"/>
        <v>454.82610158203107</v>
      </c>
      <c r="Q22" s="9">
        <f t="shared" si="52"/>
        <v>466.19675412158182</v>
      </c>
      <c r="R22" s="9">
        <f t="shared" si="52"/>
        <v>477.85167297462129</v>
      </c>
      <c r="S22" s="9">
        <f t="shared" si="52"/>
        <v>489.79796479898681</v>
      </c>
      <c r="T22" s="9">
        <f t="shared" si="52"/>
        <v>502.04291391896146</v>
      </c>
      <c r="U22" s="9">
        <f t="shared" si="52"/>
        <v>514.59398676693547</v>
      </c>
      <c r="V22" s="9">
        <f t="shared" si="52"/>
        <v>527.45883643610887</v>
      </c>
      <c r="W22" s="9">
        <f t="shared" si="52"/>
        <v>540.64530734701157</v>
      </c>
      <c r="X22" s="9">
        <f t="shared" si="52"/>
        <v>554.16144003068678</v>
      </c>
      <c r="Y22" s="9">
        <f t="shared" ref="Y22:Y23" si="53">+X22*(1+Y$9)</f>
        <v>568.01547603145389</v>
      </c>
      <c r="Z22" s="9">
        <f t="shared" ref="Z22:Z23" si="54">+Y22*(1+Z$9)</f>
        <v>582.21586293224016</v>
      </c>
      <c r="AA22" s="9">
        <f t="shared" ref="AA22:AA23" si="55">+Z22*(1+AA$9)</f>
        <v>596.77125950554614</v>
      </c>
      <c r="AB22" s="9">
        <f t="shared" ref="AB22:AB23" si="56">+AA22*(1+AB$9)</f>
        <v>611.69054099318475</v>
      </c>
      <c r="AC22" s="9">
        <f t="shared" ref="AC22:AC23" si="57">+AB22*(1+AC$9)</f>
        <v>626.98280451801429</v>
      </c>
    </row>
    <row r="23" spans="1:29" x14ac:dyDescent="0.25">
      <c r="A23" t="s">
        <v>8</v>
      </c>
      <c r="C23" s="8">
        <v>772</v>
      </c>
      <c r="D23" s="8">
        <v>733</v>
      </c>
      <c r="E23" s="8">
        <v>698</v>
      </c>
      <c r="F23" s="8">
        <v>729</v>
      </c>
      <c r="G23" s="8">
        <v>748</v>
      </c>
      <c r="H23" s="8">
        <v>731</v>
      </c>
      <c r="I23" s="100">
        <v>723</v>
      </c>
      <c r="J23" s="92">
        <f>737-31</f>
        <v>706</v>
      </c>
      <c r="K23" s="40">
        <f>763+8</f>
        <v>771</v>
      </c>
      <c r="L23" s="9">
        <f t="shared" si="52"/>
        <v>790.27499999999998</v>
      </c>
      <c r="M23" s="9">
        <f t="shared" si="52"/>
        <v>810.0318749999999</v>
      </c>
      <c r="N23" s="9">
        <f t="shared" si="52"/>
        <v>830.28267187499978</v>
      </c>
      <c r="O23" s="9">
        <f t="shared" si="52"/>
        <v>851.03973867187472</v>
      </c>
      <c r="P23" s="9">
        <f t="shared" si="52"/>
        <v>872.31573213867148</v>
      </c>
      <c r="Q23" s="9">
        <f t="shared" si="52"/>
        <v>894.12362544213818</v>
      </c>
      <c r="R23" s="9">
        <f t="shared" si="52"/>
        <v>916.47671607819154</v>
      </c>
      <c r="S23" s="9">
        <f t="shared" si="52"/>
        <v>939.38863398014621</v>
      </c>
      <c r="T23" s="9">
        <f t="shared" si="52"/>
        <v>962.87334982964978</v>
      </c>
      <c r="U23" s="9">
        <f t="shared" si="52"/>
        <v>986.94518357539096</v>
      </c>
      <c r="V23" s="9">
        <f t="shared" si="52"/>
        <v>1011.6188131647756</v>
      </c>
      <c r="W23" s="9">
        <f t="shared" si="52"/>
        <v>1036.9092834938949</v>
      </c>
      <c r="X23" s="9">
        <f t="shared" si="52"/>
        <v>1062.8320155812421</v>
      </c>
      <c r="Y23" s="9">
        <f t="shared" si="53"/>
        <v>1089.402815970773</v>
      </c>
      <c r="Z23" s="9">
        <f t="shared" si="54"/>
        <v>1116.6378863700422</v>
      </c>
      <c r="AA23" s="9">
        <f t="shared" si="55"/>
        <v>1144.5538335292931</v>
      </c>
      <c r="AB23" s="9">
        <f t="shared" si="56"/>
        <v>1173.1676793675254</v>
      </c>
      <c r="AC23" s="9">
        <f t="shared" si="57"/>
        <v>1202.4968713517135</v>
      </c>
    </row>
    <row r="24" spans="1:29" x14ac:dyDescent="0.25">
      <c r="A24" t="s">
        <v>30</v>
      </c>
      <c r="C24" s="8">
        <v>0</v>
      </c>
      <c r="D24" s="8">
        <v>0</v>
      </c>
      <c r="E24" s="8">
        <v>0</v>
      </c>
      <c r="F24" s="8">
        <v>0</v>
      </c>
      <c r="G24" s="8">
        <v>0</v>
      </c>
      <c r="H24" s="8">
        <v>0</v>
      </c>
      <c r="I24" s="100">
        <f t="shared" ref="I24:X24" si="58">+H24*(1+I9)</f>
        <v>0</v>
      </c>
      <c r="J24" s="92">
        <f t="shared" si="58"/>
        <v>0</v>
      </c>
      <c r="K24" s="40">
        <f t="shared" si="58"/>
        <v>0</v>
      </c>
      <c r="L24" s="9">
        <f t="shared" si="58"/>
        <v>0</v>
      </c>
      <c r="M24" s="9">
        <f t="shared" si="58"/>
        <v>0</v>
      </c>
      <c r="N24" s="9">
        <f t="shared" si="58"/>
        <v>0</v>
      </c>
      <c r="O24" s="9">
        <f t="shared" si="58"/>
        <v>0</v>
      </c>
      <c r="P24" s="9">
        <f t="shared" si="58"/>
        <v>0</v>
      </c>
      <c r="Q24" s="9">
        <f t="shared" si="58"/>
        <v>0</v>
      </c>
      <c r="R24" s="9">
        <f t="shared" si="58"/>
        <v>0</v>
      </c>
      <c r="S24" s="9">
        <f t="shared" si="58"/>
        <v>0</v>
      </c>
      <c r="T24" s="9">
        <f t="shared" si="58"/>
        <v>0</v>
      </c>
      <c r="U24" s="9">
        <f t="shared" si="58"/>
        <v>0</v>
      </c>
      <c r="V24" s="9">
        <f t="shared" si="58"/>
        <v>0</v>
      </c>
      <c r="W24" s="9">
        <f t="shared" si="58"/>
        <v>0</v>
      </c>
      <c r="X24" s="9">
        <f t="shared" si="58"/>
        <v>0</v>
      </c>
      <c r="Y24" s="9">
        <f t="shared" ref="Y24" si="59">+X24*(1+Y9)</f>
        <v>0</v>
      </c>
      <c r="Z24" s="9">
        <f t="shared" ref="Z24" si="60">+Y24*(1+Z9)</f>
        <v>0</v>
      </c>
      <c r="AA24" s="9">
        <f t="shared" ref="AA24" si="61">+Z24*(1+AA9)</f>
        <v>0</v>
      </c>
      <c r="AB24" s="9">
        <f t="shared" ref="AB24" si="62">+AA24*(1+AB9)</f>
        <v>0</v>
      </c>
      <c r="AC24" s="9">
        <f t="shared" ref="AC24" si="63">+AB24*(1+AC9)</f>
        <v>0</v>
      </c>
    </row>
    <row r="25" spans="1:29" x14ac:dyDescent="0.25">
      <c r="A25" t="s">
        <v>9</v>
      </c>
      <c r="C25" s="8">
        <f>116+42-47</f>
        <v>111</v>
      </c>
      <c r="D25" s="8">
        <v>81</v>
      </c>
      <c r="E25" s="8">
        <f>98+46-57</f>
        <v>87</v>
      </c>
      <c r="F25" s="8">
        <f>111-13</f>
        <v>98</v>
      </c>
      <c r="G25" s="8">
        <f>118-3</f>
        <v>115</v>
      </c>
      <c r="H25" s="8">
        <v>111</v>
      </c>
      <c r="I25" s="100">
        <v>105</v>
      </c>
      <c r="J25" s="92">
        <v>120</v>
      </c>
      <c r="K25" s="40">
        <v>121</v>
      </c>
      <c r="L25" s="9">
        <f>+K25*(1+L$9)*1.03</f>
        <v>127.74575</v>
      </c>
      <c r="M25" s="9">
        <f t="shared" ref="M25:X25" si="64">+L25*(1+M$9)*1.03</f>
        <v>134.86757556250001</v>
      </c>
      <c r="N25" s="9">
        <f t="shared" si="64"/>
        <v>142.38644290010936</v>
      </c>
      <c r="O25" s="9">
        <f t="shared" si="64"/>
        <v>150.32448709179047</v>
      </c>
      <c r="P25" s="9">
        <f t="shared" si="64"/>
        <v>158.70507724715779</v>
      </c>
      <c r="Q25" s="9">
        <f t="shared" si="64"/>
        <v>167.55288530368682</v>
      </c>
      <c r="R25" s="9">
        <f t="shared" si="64"/>
        <v>176.89395865936734</v>
      </c>
      <c r="S25" s="9">
        <f t="shared" si="64"/>
        <v>186.75579685462708</v>
      </c>
      <c r="T25" s="9">
        <f t="shared" si="64"/>
        <v>197.1674325292725</v>
      </c>
      <c r="U25" s="9">
        <f t="shared" si="64"/>
        <v>208.15951689277941</v>
      </c>
      <c r="V25" s="9">
        <f t="shared" si="64"/>
        <v>219.76440995955184</v>
      </c>
      <c r="W25" s="9">
        <f t="shared" si="64"/>
        <v>232.01627581479684</v>
      </c>
      <c r="X25" s="9">
        <f t="shared" si="64"/>
        <v>244.95118319147173</v>
      </c>
      <c r="Y25" s="9">
        <f t="shared" ref="Y25" si="65">+X25*(1+Y$9)*1.03</f>
        <v>258.60721165439628</v>
      </c>
      <c r="Z25" s="9">
        <f t="shared" ref="Z25" si="66">+Y25*(1+Z$9)*1.03</f>
        <v>273.02456370412887</v>
      </c>
      <c r="AA25" s="9">
        <f t="shared" ref="AA25" si="67">+Z25*(1+AA$9)*1.03</f>
        <v>288.24568313063401</v>
      </c>
      <c r="AB25" s="9">
        <f t="shared" ref="AB25" si="68">+AA25*(1+AB$9)*1.03</f>
        <v>304.31537996516681</v>
      </c>
      <c r="AC25" s="9">
        <f t="shared" ref="AC25" si="69">+AB25*(1+AC$9)*1.03</f>
        <v>321.28096239822486</v>
      </c>
    </row>
    <row r="26" spans="1:29" x14ac:dyDescent="0.25">
      <c r="A26" t="s">
        <v>10</v>
      </c>
      <c r="C26" s="8">
        <v>22</v>
      </c>
      <c r="D26" s="8">
        <v>14</v>
      </c>
      <c r="E26" s="8">
        <v>31</v>
      </c>
      <c r="F26" s="8">
        <v>15</v>
      </c>
      <c r="G26" s="8">
        <v>18</v>
      </c>
      <c r="H26" s="8">
        <v>10</v>
      </c>
      <c r="I26" s="8">
        <v>30</v>
      </c>
      <c r="J26" s="73">
        <v>38</v>
      </c>
      <c r="K26" s="40">
        <v>30</v>
      </c>
      <c r="L26" s="9">
        <f t="shared" ref="L26:X26" si="70">+K26*(1+L$9)</f>
        <v>30.749999999999996</v>
      </c>
      <c r="M26" s="9">
        <f t="shared" si="70"/>
        <v>31.518749999999994</v>
      </c>
      <c r="N26" s="9">
        <f t="shared" si="70"/>
        <v>32.306718749999987</v>
      </c>
      <c r="O26" s="9">
        <f t="shared" si="70"/>
        <v>33.114386718749984</v>
      </c>
      <c r="P26" s="9">
        <f t="shared" si="70"/>
        <v>33.942246386718729</v>
      </c>
      <c r="Q26" s="9">
        <f t="shared" si="70"/>
        <v>34.790802546386693</v>
      </c>
      <c r="R26" s="9">
        <f t="shared" si="70"/>
        <v>35.660572610046358</v>
      </c>
      <c r="S26" s="9">
        <f t="shared" si="70"/>
        <v>36.552086925297516</v>
      </c>
      <c r="T26" s="9">
        <f t="shared" si="70"/>
        <v>37.465889098429948</v>
      </c>
      <c r="U26" s="9">
        <f t="shared" si="70"/>
        <v>38.402536325890694</v>
      </c>
      <c r="V26" s="9">
        <f t="shared" si="70"/>
        <v>39.362599734037957</v>
      </c>
      <c r="W26" s="9">
        <f t="shared" si="70"/>
        <v>40.346664727388905</v>
      </c>
      <c r="X26" s="9">
        <f t="shared" si="70"/>
        <v>41.355331345573624</v>
      </c>
      <c r="Y26" s="9">
        <f t="shared" ref="Y26:Y29" si="71">+X26*(1+Y$9)</f>
        <v>42.389214629212958</v>
      </c>
      <c r="Z26" s="9">
        <f t="shared" ref="Z26:Z29" si="72">+Y26*(1+Z$9)</f>
        <v>43.448944994943275</v>
      </c>
      <c r="AA26" s="9">
        <f t="shared" ref="AA26:AA29" si="73">+Z26*(1+AA$9)</f>
        <v>44.535168619816851</v>
      </c>
      <c r="AB26" s="9">
        <f t="shared" ref="AB26:AB29" si="74">+AA26*(1+AB$9)</f>
        <v>45.648547835312272</v>
      </c>
      <c r="AC26" s="9">
        <f t="shared" ref="AC26:AC29" si="75">+AB26*(1+AC$9)</f>
        <v>46.789761531195076</v>
      </c>
    </row>
    <row r="27" spans="1:29" x14ac:dyDescent="0.25">
      <c r="A27" t="s">
        <v>11</v>
      </c>
      <c r="C27" s="8">
        <f>15-9</f>
        <v>6</v>
      </c>
      <c r="D27" s="8">
        <v>4</v>
      </c>
      <c r="E27" s="8">
        <v>8</v>
      </c>
      <c r="F27" s="8">
        <v>8</v>
      </c>
      <c r="G27" s="8">
        <v>13</v>
      </c>
      <c r="H27" s="8">
        <v>11</v>
      </c>
      <c r="I27" s="100">
        <v>19</v>
      </c>
      <c r="J27" s="92">
        <v>13</v>
      </c>
      <c r="K27" s="40">
        <v>17</v>
      </c>
      <c r="L27" s="9">
        <f t="shared" ref="L27:X29" si="76">+K27*(1+L$9)</f>
        <v>17.424999999999997</v>
      </c>
      <c r="M27" s="9">
        <f t="shared" si="76"/>
        <v>17.860624999999995</v>
      </c>
      <c r="N27" s="9">
        <f t="shared" si="76"/>
        <v>18.307140624999995</v>
      </c>
      <c r="O27" s="9">
        <f t="shared" si="76"/>
        <v>18.764819140624994</v>
      </c>
      <c r="P27" s="9">
        <f t="shared" si="76"/>
        <v>19.233939619140617</v>
      </c>
      <c r="Q27" s="9">
        <f t="shared" si="76"/>
        <v>19.714788109619132</v>
      </c>
      <c r="R27" s="9">
        <f t="shared" si="76"/>
        <v>20.20765781235961</v>
      </c>
      <c r="S27" s="9">
        <f t="shared" si="76"/>
        <v>20.712849257668598</v>
      </c>
      <c r="T27" s="9">
        <f t="shared" si="76"/>
        <v>21.23067048911031</v>
      </c>
      <c r="U27" s="9">
        <f t="shared" si="76"/>
        <v>21.761437251338066</v>
      </c>
      <c r="V27" s="9">
        <f t="shared" si="76"/>
        <v>22.305473182621515</v>
      </c>
      <c r="W27" s="9">
        <f t="shared" si="76"/>
        <v>22.86311001218705</v>
      </c>
      <c r="X27" s="9">
        <f t="shared" si="76"/>
        <v>23.434687762491723</v>
      </c>
      <c r="Y27" s="9">
        <f t="shared" si="71"/>
        <v>24.020554956554015</v>
      </c>
      <c r="Z27" s="9">
        <f t="shared" si="72"/>
        <v>24.621068830467863</v>
      </c>
      <c r="AA27" s="9">
        <f t="shared" si="73"/>
        <v>25.236595551229556</v>
      </c>
      <c r="AB27" s="9">
        <f t="shared" si="74"/>
        <v>25.867510440010292</v>
      </c>
      <c r="AC27" s="9">
        <f t="shared" si="75"/>
        <v>26.514198201010547</v>
      </c>
    </row>
    <row r="28" spans="1:29" x14ac:dyDescent="0.25">
      <c r="A28" t="s">
        <v>13</v>
      </c>
      <c r="C28" s="8">
        <v>32</v>
      </c>
      <c r="D28" s="8">
        <v>29</v>
      </c>
      <c r="E28" s="8">
        <v>30</v>
      </c>
      <c r="F28" s="8">
        <v>30</v>
      </c>
      <c r="G28" s="8">
        <v>20</v>
      </c>
      <c r="H28" s="8">
        <v>22</v>
      </c>
      <c r="I28" s="100">
        <v>22</v>
      </c>
      <c r="J28" s="92">
        <v>19</v>
      </c>
      <c r="K28" s="40">
        <v>22</v>
      </c>
      <c r="L28" s="9">
        <f t="shared" si="76"/>
        <v>22.549999999999997</v>
      </c>
      <c r="M28" s="9">
        <f t="shared" si="76"/>
        <v>23.113749999999996</v>
      </c>
      <c r="N28" s="9">
        <f t="shared" si="76"/>
        <v>23.691593749999996</v>
      </c>
      <c r="O28" s="9">
        <f t="shared" si="76"/>
        <v>24.283883593749994</v>
      </c>
      <c r="P28" s="9">
        <f t="shared" si="76"/>
        <v>24.890980683593742</v>
      </c>
      <c r="Q28" s="9">
        <f t="shared" si="76"/>
        <v>25.513255200683584</v>
      </c>
      <c r="R28" s="9">
        <f t="shared" si="76"/>
        <v>26.151086580700671</v>
      </c>
      <c r="S28" s="9">
        <f t="shared" si="76"/>
        <v>26.804863745218185</v>
      </c>
      <c r="T28" s="9">
        <f t="shared" si="76"/>
        <v>27.474985338848636</v>
      </c>
      <c r="U28" s="9">
        <f t="shared" si="76"/>
        <v>28.161859972319849</v>
      </c>
      <c r="V28" s="9">
        <f t="shared" si="76"/>
        <v>28.865906471627842</v>
      </c>
      <c r="W28" s="9">
        <f t="shared" si="76"/>
        <v>29.587554133418536</v>
      </c>
      <c r="X28" s="9">
        <f t="shared" si="76"/>
        <v>30.327242986753998</v>
      </c>
      <c r="Y28" s="9">
        <f t="shared" si="71"/>
        <v>31.085424061422845</v>
      </c>
      <c r="Z28" s="9">
        <f t="shared" si="72"/>
        <v>31.862559662958414</v>
      </c>
      <c r="AA28" s="9">
        <f t="shared" si="73"/>
        <v>32.659123654532372</v>
      </c>
      <c r="AB28" s="9">
        <f t="shared" si="74"/>
        <v>33.47560174589568</v>
      </c>
      <c r="AC28" s="9">
        <f t="shared" si="75"/>
        <v>34.312491789543067</v>
      </c>
    </row>
    <row r="29" spans="1:29" x14ac:dyDescent="0.25">
      <c r="A29" t="s">
        <v>14</v>
      </c>
      <c r="C29" s="8">
        <v>42</v>
      </c>
      <c r="D29" s="8">
        <v>46</v>
      </c>
      <c r="E29" s="8">
        <v>45</v>
      </c>
      <c r="F29" s="8">
        <v>50</v>
      </c>
      <c r="G29" s="8">
        <v>42</v>
      </c>
      <c r="H29" s="8">
        <v>39</v>
      </c>
      <c r="I29" s="100">
        <v>31</v>
      </c>
      <c r="J29" s="92">
        <v>31</v>
      </c>
      <c r="K29" s="40">
        <v>28</v>
      </c>
      <c r="L29" s="9">
        <f t="shared" si="76"/>
        <v>28.699999999999996</v>
      </c>
      <c r="M29" s="9">
        <f t="shared" si="76"/>
        <v>29.417499999999993</v>
      </c>
      <c r="N29" s="9">
        <f t="shared" si="76"/>
        <v>30.15293749999999</v>
      </c>
      <c r="O29" s="9">
        <f t="shared" si="76"/>
        <v>30.906760937499985</v>
      </c>
      <c r="P29" s="9">
        <f t="shared" si="76"/>
        <v>31.679429960937483</v>
      </c>
      <c r="Q29" s="9">
        <f t="shared" si="76"/>
        <v>32.471415709960915</v>
      </c>
      <c r="R29" s="9">
        <f t="shared" si="76"/>
        <v>33.283201102709938</v>
      </c>
      <c r="S29" s="9">
        <f t="shared" si="76"/>
        <v>34.115281130277687</v>
      </c>
      <c r="T29" s="9">
        <f t="shared" si="76"/>
        <v>34.968163158534622</v>
      </c>
      <c r="U29" s="9">
        <f t="shared" si="76"/>
        <v>35.842367237497982</v>
      </c>
      <c r="V29" s="9">
        <f t="shared" si="76"/>
        <v>36.738426418435431</v>
      </c>
      <c r="W29" s="9">
        <f t="shared" si="76"/>
        <v>37.656887078896311</v>
      </c>
      <c r="X29" s="9">
        <f t="shared" si="76"/>
        <v>38.598309255868713</v>
      </c>
      <c r="Y29" s="9">
        <f t="shared" si="71"/>
        <v>39.563266987265429</v>
      </c>
      <c r="Z29" s="9">
        <f t="shared" si="72"/>
        <v>40.552348661947065</v>
      </c>
      <c r="AA29" s="9">
        <f t="shared" si="73"/>
        <v>41.566157378495738</v>
      </c>
      <c r="AB29" s="9">
        <f t="shared" si="74"/>
        <v>42.605311312958129</v>
      </c>
      <c r="AC29" s="9">
        <f t="shared" si="75"/>
        <v>43.670444095782081</v>
      </c>
    </row>
    <row r="30" spans="1:29" s="6" customFormat="1" x14ac:dyDescent="0.25">
      <c r="A30" s="6" t="s">
        <v>45</v>
      </c>
      <c r="C30" s="12">
        <f t="shared" ref="C30:X30" si="77">SUM(C22:C29)</f>
        <v>1357</v>
      </c>
      <c r="D30" s="12">
        <f t="shared" si="77"/>
        <v>1254</v>
      </c>
      <c r="E30" s="12">
        <f t="shared" si="77"/>
        <v>1279</v>
      </c>
      <c r="F30" s="12">
        <f t="shared" si="77"/>
        <v>1310</v>
      </c>
      <c r="G30" s="12">
        <f t="shared" si="77"/>
        <v>1359</v>
      </c>
      <c r="H30" s="12">
        <f t="shared" si="77"/>
        <v>1349</v>
      </c>
      <c r="I30" s="12">
        <f t="shared" si="77"/>
        <v>1421</v>
      </c>
      <c r="J30" s="77">
        <f t="shared" si="77"/>
        <v>1366</v>
      </c>
      <c r="K30" s="31">
        <f t="shared" si="77"/>
        <v>1391</v>
      </c>
      <c r="L30" s="12">
        <f t="shared" si="77"/>
        <v>1429.4957499999998</v>
      </c>
      <c r="M30" s="12">
        <f t="shared" si="77"/>
        <v>1469.1613255624998</v>
      </c>
      <c r="N30" s="12">
        <f t="shared" si="77"/>
        <v>1510.0375366501094</v>
      </c>
      <c r="O30" s="12">
        <f t="shared" si="77"/>
        <v>1552.1668581855399</v>
      </c>
      <c r="P30" s="12">
        <f t="shared" si="77"/>
        <v>1595.5935076182511</v>
      </c>
      <c r="Q30" s="12">
        <f t="shared" si="77"/>
        <v>1640.3635264340569</v>
      </c>
      <c r="R30" s="12">
        <f t="shared" si="77"/>
        <v>1686.5248658179967</v>
      </c>
      <c r="S30" s="12">
        <f t="shared" si="77"/>
        <v>1734.127476692222</v>
      </c>
      <c r="T30" s="12">
        <f t="shared" si="77"/>
        <v>1783.2234043628073</v>
      </c>
      <c r="U30" s="12">
        <f t="shared" si="77"/>
        <v>1833.8668880221526</v>
      </c>
      <c r="V30" s="12">
        <f t="shared" si="77"/>
        <v>1886.1144653671588</v>
      </c>
      <c r="W30" s="12">
        <f t="shared" si="77"/>
        <v>1940.0250826075942</v>
      </c>
      <c r="X30" s="12">
        <f t="shared" si="77"/>
        <v>1995.6602101540886</v>
      </c>
      <c r="Y30" s="12">
        <f t="shared" ref="Y30:AC30" si="78">SUM(Y22:Y29)</f>
        <v>2053.0839642910782</v>
      </c>
      <c r="Z30" s="12">
        <f t="shared" si="78"/>
        <v>2112.363235156728</v>
      </c>
      <c r="AA30" s="12">
        <f t="shared" si="78"/>
        <v>2173.5678213695473</v>
      </c>
      <c r="AB30" s="12">
        <f t="shared" si="78"/>
        <v>2236.770571660054</v>
      </c>
      <c r="AC30" s="12">
        <f t="shared" si="78"/>
        <v>2302.0475338854831</v>
      </c>
    </row>
    <row r="31" spans="1:29" x14ac:dyDescent="0.25">
      <c r="A31" s="56" t="s">
        <v>53</v>
      </c>
      <c r="D31" s="55">
        <f>+D30/C30-1</f>
        <v>-7.5902726602800286E-2</v>
      </c>
      <c r="E31" s="55">
        <f t="shared" ref="E31:X31" si="79">+E30/D30-1</f>
        <v>1.9936204146730363E-2</v>
      </c>
      <c r="F31" s="55">
        <f t="shared" si="79"/>
        <v>2.4237685691946842E-2</v>
      </c>
      <c r="G31" s="55">
        <f t="shared" si="79"/>
        <v>3.7404580152671674E-2</v>
      </c>
      <c r="H31" s="55">
        <f t="shared" si="79"/>
        <v>-7.3583517292126199E-3</v>
      </c>
      <c r="I31" s="55">
        <f t="shared" si="79"/>
        <v>5.3372868791697448E-2</v>
      </c>
      <c r="J31" s="75">
        <f t="shared" si="79"/>
        <v>-3.8705137227304731E-2</v>
      </c>
      <c r="K31" s="57">
        <f t="shared" si="79"/>
        <v>1.8301610541727742E-2</v>
      </c>
      <c r="L31" s="55">
        <f t="shared" si="79"/>
        <v>2.767487419122916E-2</v>
      </c>
      <c r="M31" s="55">
        <f t="shared" si="79"/>
        <v>2.7747949276869077E-2</v>
      </c>
      <c r="N31" s="55">
        <f t="shared" si="79"/>
        <v>2.7822819983339242E-2</v>
      </c>
      <c r="O31" s="55">
        <f t="shared" si="79"/>
        <v>2.7899519391346272E-2</v>
      </c>
      <c r="P31" s="55">
        <f t="shared" si="79"/>
        <v>2.7978080580509435E-2</v>
      </c>
      <c r="Q31" s="55">
        <f t="shared" si="79"/>
        <v>2.8058536589707028E-2</v>
      </c>
      <c r="R31" s="55">
        <f t="shared" si="79"/>
        <v>2.8140920375307799E-2</v>
      </c>
      <c r="S31" s="55">
        <f t="shared" si="79"/>
        <v>2.8225264767227198E-2</v>
      </c>
      <c r="T31" s="55">
        <f t="shared" si="79"/>
        <v>2.8311602422812499E-2</v>
      </c>
      <c r="U31" s="55">
        <f t="shared" si="79"/>
        <v>2.8399965778511893E-2</v>
      </c>
      <c r="V31" s="55">
        <f t="shared" si="79"/>
        <v>2.8490386999328932E-2</v>
      </c>
      <c r="W31" s="55">
        <f t="shared" si="79"/>
        <v>2.8582897926049844E-2</v>
      </c>
      <c r="X31" s="55">
        <f t="shared" si="79"/>
        <v>2.8677530020238207E-2</v>
      </c>
      <c r="Y31" s="55">
        <f t="shared" ref="Y31" si="80">+Y30/X30-1</f>
        <v>2.8774314307021154E-2</v>
      </c>
      <c r="Z31" s="55">
        <f t="shared" ref="Z31" si="81">+Z30/Y30-1</f>
        <v>2.8873281315661581E-2</v>
      </c>
      <c r="AA31" s="55">
        <f t="shared" ref="AA31" si="82">+AA30/Z30-1</f>
        <v>2.8974461017959419E-2</v>
      </c>
      <c r="AB31" s="55">
        <f t="shared" ref="AB31" si="83">+AB30/AA30-1</f>
        <v>2.9077882764515284E-2</v>
      </c>
      <c r="AC31" s="55">
        <f t="shared" ref="AC31" si="84">+AC30/AB30-1</f>
        <v>2.9183575218884705E-2</v>
      </c>
    </row>
    <row r="32" spans="1:29" x14ac:dyDescent="0.25">
      <c r="A32" s="42" t="s">
        <v>47</v>
      </c>
      <c r="C32" s="8">
        <v>21</v>
      </c>
      <c r="D32" s="8">
        <v>0</v>
      </c>
      <c r="E32" s="8">
        <v>0</v>
      </c>
      <c r="F32" s="2">
        <v>0</v>
      </c>
      <c r="G32">
        <v>0</v>
      </c>
      <c r="H32">
        <v>0</v>
      </c>
      <c r="I32">
        <v>0</v>
      </c>
      <c r="J32" s="65">
        <v>0</v>
      </c>
      <c r="K32" s="21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1</v>
      </c>
      <c r="Z32">
        <v>2</v>
      </c>
      <c r="AA32">
        <v>3</v>
      </c>
      <c r="AB32">
        <v>4</v>
      </c>
      <c r="AC32">
        <v>5</v>
      </c>
    </row>
    <row r="33" spans="1:31" x14ac:dyDescent="0.25">
      <c r="A33" s="56"/>
      <c r="D33" s="55"/>
      <c r="E33" s="55"/>
      <c r="F33" s="55"/>
      <c r="G33" s="55"/>
      <c r="H33" s="55"/>
      <c r="I33" s="55"/>
      <c r="J33" s="75"/>
      <c r="K33" s="57"/>
      <c r="L33" s="55"/>
      <c r="M33" s="55"/>
      <c r="N33" s="55"/>
      <c r="O33" s="55"/>
      <c r="P33" s="55"/>
      <c r="Q33" s="55"/>
      <c r="R33" s="55"/>
      <c r="S33" s="55"/>
      <c r="T33" s="55"/>
      <c r="U33" s="55"/>
      <c r="V33" s="55"/>
      <c r="W33" s="55"/>
      <c r="X33" s="55"/>
      <c r="Y33" s="55"/>
      <c r="Z33" s="55"/>
      <c r="AA33" s="55"/>
      <c r="AB33" s="55"/>
      <c r="AC33" s="55"/>
    </row>
    <row r="34" spans="1:31" x14ac:dyDescent="0.25">
      <c r="A34" s="81" t="s">
        <v>59</v>
      </c>
      <c r="B34" s="82"/>
      <c r="C34" s="83">
        <f t="shared" ref="C34:X34" si="85">+C19-C30+C32</f>
        <v>-609</v>
      </c>
      <c r="D34" s="83">
        <f t="shared" si="85"/>
        <v>-399</v>
      </c>
      <c r="E34" s="83">
        <f t="shared" si="85"/>
        <v>-285</v>
      </c>
      <c r="F34" s="83">
        <f t="shared" si="85"/>
        <v>-256</v>
      </c>
      <c r="G34" s="83">
        <f t="shared" si="85"/>
        <v>-234</v>
      </c>
      <c r="H34" s="83">
        <f t="shared" si="85"/>
        <v>-223</v>
      </c>
      <c r="I34" s="83">
        <f t="shared" si="85"/>
        <v>-305</v>
      </c>
      <c r="J34" s="84">
        <f t="shared" si="85"/>
        <v>-202</v>
      </c>
      <c r="K34" s="85">
        <f t="shared" si="85"/>
        <v>-152</v>
      </c>
      <c r="L34" s="83">
        <f t="shared" si="85"/>
        <v>-108.93394999999987</v>
      </c>
      <c r="M34" s="83">
        <f t="shared" si="85"/>
        <v>-40.511830562499881</v>
      </c>
      <c r="N34" s="83">
        <f t="shared" si="85"/>
        <v>33.48906522489051</v>
      </c>
      <c r="O34" s="83">
        <f t="shared" si="85"/>
        <v>113.45453556133498</v>
      </c>
      <c r="P34" s="83">
        <f t="shared" si="85"/>
        <v>199.79497868104568</v>
      </c>
      <c r="Q34" s="83">
        <f t="shared" si="85"/>
        <v>292.94688713653477</v>
      </c>
      <c r="R34" s="83">
        <f t="shared" si="85"/>
        <v>393.37442995696938</v>
      </c>
      <c r="S34" s="83">
        <f t="shared" si="85"/>
        <v>501.57112773086965</v>
      </c>
      <c r="T34" s="83">
        <f t="shared" si="85"/>
        <v>618.06162594745592</v>
      </c>
      <c r="U34" s="83">
        <f t="shared" si="85"/>
        <v>743.40357223195542</v>
      </c>
      <c r="V34" s="83">
        <f t="shared" si="85"/>
        <v>878.18960342789183</v>
      </c>
      <c r="W34" s="83">
        <f t="shared" si="85"/>
        <v>1023.0494488148086</v>
      </c>
      <c r="X34" s="83">
        <f t="shared" si="85"/>
        <v>1178.6521561039388</v>
      </c>
      <c r="Y34" s="83">
        <f t="shared" ref="Y34:AC34" si="86">+Y19-Y30+Y32</f>
        <v>1347.7084472280417</v>
      </c>
      <c r="Z34" s="83">
        <f t="shared" si="86"/>
        <v>1528.9732113361742</v>
      </c>
      <c r="AA34" s="83">
        <f t="shared" si="86"/>
        <v>1723.2481428204974</v>
      </c>
      <c r="AB34" s="83">
        <f t="shared" si="86"/>
        <v>1933.5298617872249</v>
      </c>
      <c r="AC34" s="83">
        <f t="shared" si="86"/>
        <v>2096.4869052320264</v>
      </c>
    </row>
    <row r="35" spans="1:31" x14ac:dyDescent="0.25">
      <c r="A35" s="56"/>
      <c r="D35" s="55"/>
      <c r="E35" s="55"/>
      <c r="F35" s="55"/>
      <c r="G35" s="55"/>
      <c r="H35" s="55"/>
      <c r="I35" s="55"/>
      <c r="J35" s="75"/>
      <c r="K35" s="57"/>
      <c r="L35" s="55"/>
      <c r="M35" s="55"/>
      <c r="N35" s="55"/>
      <c r="O35" s="55"/>
      <c r="P35" s="55"/>
      <c r="Q35" s="55"/>
      <c r="R35" s="55"/>
      <c r="S35" s="55"/>
      <c r="T35" s="55"/>
      <c r="U35" s="55"/>
      <c r="V35" s="55"/>
      <c r="W35" s="55"/>
      <c r="X35" s="55"/>
      <c r="Y35" s="55"/>
      <c r="Z35" s="55"/>
      <c r="AA35" s="55"/>
      <c r="AB35" s="55"/>
      <c r="AC35" s="55"/>
    </row>
    <row r="36" spans="1:31" x14ac:dyDescent="0.25">
      <c r="A36" t="s">
        <v>23</v>
      </c>
      <c r="C36" s="8">
        <v>-5</v>
      </c>
      <c r="D36" s="8">
        <v>-3</v>
      </c>
      <c r="E36" s="8">
        <v>-35</v>
      </c>
      <c r="F36" s="8">
        <v>-5</v>
      </c>
      <c r="G36" s="63">
        <v>-4</v>
      </c>
      <c r="H36" s="63">
        <v>-16</v>
      </c>
      <c r="I36" s="63">
        <v>-17</v>
      </c>
      <c r="J36" s="99">
        <v>-3</v>
      </c>
      <c r="K36" s="41">
        <v>0</v>
      </c>
      <c r="L36" s="15">
        <v>-15</v>
      </c>
      <c r="M36" s="15">
        <v>-15</v>
      </c>
      <c r="N36" s="15">
        <v>-15</v>
      </c>
      <c r="O36" s="15">
        <v>-15</v>
      </c>
      <c r="P36" s="15">
        <v>-15</v>
      </c>
      <c r="Q36" s="15">
        <v>-15</v>
      </c>
      <c r="R36" s="15">
        <v>-15</v>
      </c>
      <c r="S36" s="15">
        <v>-15</v>
      </c>
      <c r="T36" s="15">
        <v>-15</v>
      </c>
      <c r="U36" s="15">
        <v>-15</v>
      </c>
      <c r="V36" s="15">
        <v>-15</v>
      </c>
      <c r="W36" s="15">
        <v>-15</v>
      </c>
      <c r="X36" s="15">
        <v>-15</v>
      </c>
      <c r="Y36" s="15">
        <v>-15</v>
      </c>
      <c r="Z36" s="15">
        <v>-15</v>
      </c>
      <c r="AA36" s="15">
        <v>-15</v>
      </c>
      <c r="AB36" s="15">
        <v>-15</v>
      </c>
      <c r="AC36" s="15">
        <v>-15</v>
      </c>
    </row>
    <row r="37" spans="1:31" x14ac:dyDescent="0.25">
      <c r="A37" t="s">
        <v>42</v>
      </c>
      <c r="C37" s="8">
        <f>10+15+2+13-11</f>
        <v>29</v>
      </c>
      <c r="D37" s="10">
        <v>26</v>
      </c>
      <c r="E37" s="10">
        <v>26</v>
      </c>
      <c r="F37" s="112">
        <v>47</v>
      </c>
      <c r="G37" s="112">
        <v>36</v>
      </c>
      <c r="H37" s="113">
        <v>-44</v>
      </c>
      <c r="I37" s="54">
        <v>-59</v>
      </c>
      <c r="J37" s="114">
        <f>-55+15+41</f>
        <v>1</v>
      </c>
      <c r="K37" s="21">
        <v>40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0</v>
      </c>
      <c r="AA37">
        <v>0</v>
      </c>
      <c r="AB37">
        <v>0</v>
      </c>
      <c r="AC37">
        <v>0</v>
      </c>
    </row>
    <row r="38" spans="1:31" x14ac:dyDescent="0.25">
      <c r="C38" s="8"/>
      <c r="D38" s="10"/>
      <c r="E38" s="10"/>
      <c r="F38" s="10"/>
      <c r="G38" s="10"/>
      <c r="H38" s="11"/>
      <c r="J38" s="65"/>
      <c r="K38" s="21"/>
    </row>
    <row r="39" spans="1:31" x14ac:dyDescent="0.25">
      <c r="A39" s="81" t="s">
        <v>60</v>
      </c>
      <c r="B39" s="82"/>
      <c r="C39" s="83">
        <f>+C34+C36+C37</f>
        <v>-585</v>
      </c>
      <c r="D39" s="83">
        <f t="shared" ref="D39:X39" si="87">+D34+D36+D37</f>
        <v>-376</v>
      </c>
      <c r="E39" s="83">
        <f t="shared" si="87"/>
        <v>-294</v>
      </c>
      <c r="F39" s="83">
        <f t="shared" si="87"/>
        <v>-214</v>
      </c>
      <c r="G39" s="83">
        <f t="shared" si="87"/>
        <v>-202</v>
      </c>
      <c r="H39" s="83">
        <f t="shared" si="87"/>
        <v>-283</v>
      </c>
      <c r="I39" s="83">
        <f t="shared" si="87"/>
        <v>-381</v>
      </c>
      <c r="J39" s="84">
        <f t="shared" si="87"/>
        <v>-204</v>
      </c>
      <c r="K39" s="85">
        <f t="shared" si="87"/>
        <v>-112</v>
      </c>
      <c r="L39" s="83">
        <f t="shared" si="87"/>
        <v>-123.93394999999987</v>
      </c>
      <c r="M39" s="83">
        <f t="shared" si="87"/>
        <v>-55.511830562499881</v>
      </c>
      <c r="N39" s="83">
        <f t="shared" si="87"/>
        <v>18.48906522489051</v>
      </c>
      <c r="O39" s="83">
        <f t="shared" si="87"/>
        <v>98.454535561334978</v>
      </c>
      <c r="P39" s="83">
        <f t="shared" si="87"/>
        <v>184.79497868104568</v>
      </c>
      <c r="Q39" s="83">
        <f t="shared" si="87"/>
        <v>277.94688713653477</v>
      </c>
      <c r="R39" s="83">
        <f t="shared" si="87"/>
        <v>378.37442995696938</v>
      </c>
      <c r="S39" s="83">
        <f t="shared" si="87"/>
        <v>486.57112773086965</v>
      </c>
      <c r="T39" s="83">
        <f t="shared" si="87"/>
        <v>603.06162594745592</v>
      </c>
      <c r="U39" s="83">
        <f t="shared" si="87"/>
        <v>728.40357223195542</v>
      </c>
      <c r="V39" s="83">
        <f t="shared" si="87"/>
        <v>863.18960342789183</v>
      </c>
      <c r="W39" s="83">
        <f t="shared" si="87"/>
        <v>1008.0494488148086</v>
      </c>
      <c r="X39" s="83">
        <f t="shared" si="87"/>
        <v>1163.6521561039388</v>
      </c>
      <c r="Y39" s="83">
        <f t="shared" ref="Y39:AC39" si="88">+Y34+Y36+Y37</f>
        <v>1332.7084472280417</v>
      </c>
      <c r="Z39" s="83">
        <f t="shared" si="88"/>
        <v>1513.9732113361742</v>
      </c>
      <c r="AA39" s="83">
        <f t="shared" si="88"/>
        <v>1708.2481428204974</v>
      </c>
      <c r="AB39" s="83">
        <f t="shared" si="88"/>
        <v>1918.5298617872249</v>
      </c>
      <c r="AC39" s="83">
        <f t="shared" si="88"/>
        <v>2081.4869052320264</v>
      </c>
    </row>
    <row r="40" spans="1:31" x14ac:dyDescent="0.25">
      <c r="A40" s="56"/>
      <c r="D40" s="55"/>
      <c r="E40" s="55"/>
      <c r="F40" s="55"/>
      <c r="G40" s="55"/>
      <c r="H40" s="55"/>
      <c r="I40" s="55"/>
      <c r="J40" s="75"/>
      <c r="K40" s="57"/>
      <c r="L40" s="55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/>
      <c r="AB40" s="55"/>
      <c r="AC40" s="55"/>
    </row>
    <row r="41" spans="1:31" x14ac:dyDescent="0.25">
      <c r="A41" t="s">
        <v>72</v>
      </c>
      <c r="C41" s="86">
        <v>178</v>
      </c>
      <c r="D41" s="86">
        <v>207</v>
      </c>
      <c r="E41" s="86">
        <v>229</v>
      </c>
      <c r="F41" s="86">
        <v>252</v>
      </c>
      <c r="G41" s="86">
        <v>207</v>
      </c>
      <c r="H41" s="86">
        <v>221</v>
      </c>
      <c r="I41" s="86">
        <v>238</v>
      </c>
      <c r="J41" s="93">
        <v>257</v>
      </c>
      <c r="K41" s="88">
        <v>260</v>
      </c>
      <c r="L41" s="89">
        <f t="shared" ref="L41:X41" si="89">MAX((K44+(L30-L19)/2)*L11,0)</f>
        <v>283.41517668749998</v>
      </c>
      <c r="M41" s="89">
        <f t="shared" si="89"/>
        <v>295.54216386398434</v>
      </c>
      <c r="N41" s="89">
        <f t="shared" si="89"/>
        <v>305.74890412629998</v>
      </c>
      <c r="O41" s="89">
        <f t="shared" si="89"/>
        <v>313.78540999762856</v>
      </c>
      <c r="P41" s="89">
        <f t="shared" si="89"/>
        <v>319.38063121611276</v>
      </c>
      <c r="Q41" s="89">
        <f t="shared" si="89"/>
        <v>322.24094641110071</v>
      </c>
      <c r="R41" s="89">
        <f t="shared" si="89"/>
        <v>322.04855576669206</v>
      </c>
      <c r="S41" s="89">
        <f t="shared" si="89"/>
        <v>318.45976851668217</v>
      </c>
      <c r="T41" s="89">
        <f t="shared" si="89"/>
        <v>311.10317874620154</v>
      </c>
      <c r="U41" s="89">
        <f t="shared" si="89"/>
        <v>299.57772258503763</v>
      </c>
      <c r="V41" s="89">
        <f t="shared" si="89"/>
        <v>283.45060946457892</v>
      </c>
      <c r="W41" s="89">
        <f t="shared" si="89"/>
        <v>262.25511967323382</v>
      </c>
      <c r="X41" s="89">
        <f t="shared" si="89"/>
        <v>235.48825998268427</v>
      </c>
      <c r="Y41" s="89">
        <f t="shared" ref="Y41" si="90">MAX((X44+(Y30-Y19)/2)*Y11,0)</f>
        <v>202.59201862797681</v>
      </c>
      <c r="Z41" s="89">
        <f t="shared" ref="Z41" si="91">MAX((Y44+(Z30-Z19)/2)*Z11,0)</f>
        <v>162.93393228171757</v>
      </c>
      <c r="AA41" s="89">
        <f t="shared" ref="AA41" si="92">MAX((Z44+(AA30-AA19)/2)*AA11,0)</f>
        <v>115.88443807582748</v>
      </c>
      <c r="AB41" s="89">
        <f t="shared" ref="AB41" si="93">MAX((AA44+(AB30-AB19)/2)*AB11,0)</f>
        <v>60.731789738416374</v>
      </c>
      <c r="AC41" s="89">
        <f t="shared" ref="AC41" si="94">MAX((AB44+(AC30-AC19)/2)*AC11,0)</f>
        <v>0</v>
      </c>
    </row>
    <row r="42" spans="1:31" s="6" customFormat="1" x14ac:dyDescent="0.25">
      <c r="A42" s="6" t="s">
        <v>61</v>
      </c>
      <c r="C42" s="12">
        <f>+C39-C41</f>
        <v>-763</v>
      </c>
      <c r="D42" s="12">
        <f t="shared" ref="D42:X42" si="95">+D39-D41</f>
        <v>-583</v>
      </c>
      <c r="E42" s="12">
        <f t="shared" si="95"/>
        <v>-523</v>
      </c>
      <c r="F42" s="12">
        <f t="shared" si="95"/>
        <v>-466</v>
      </c>
      <c r="G42" s="12">
        <f t="shared" si="95"/>
        <v>-409</v>
      </c>
      <c r="H42" s="12">
        <f t="shared" si="95"/>
        <v>-504</v>
      </c>
      <c r="I42" s="12">
        <f t="shared" si="95"/>
        <v>-619</v>
      </c>
      <c r="J42" s="77">
        <f t="shared" si="95"/>
        <v>-461</v>
      </c>
      <c r="K42" s="31">
        <f t="shared" si="95"/>
        <v>-372</v>
      </c>
      <c r="L42" s="12">
        <f t="shared" si="95"/>
        <v>-407.34912668749985</v>
      </c>
      <c r="M42" s="12">
        <f t="shared" si="95"/>
        <v>-351.05399442648422</v>
      </c>
      <c r="N42" s="12">
        <f t="shared" si="95"/>
        <v>-287.25983890140947</v>
      </c>
      <c r="O42" s="12">
        <f t="shared" si="95"/>
        <v>-215.33087443629358</v>
      </c>
      <c r="P42" s="12">
        <f t="shared" si="95"/>
        <v>-134.58565253506708</v>
      </c>
      <c r="Q42" s="12">
        <f t="shared" si="95"/>
        <v>-44.294059274565939</v>
      </c>
      <c r="R42" s="12">
        <f t="shared" si="95"/>
        <v>56.325874190277318</v>
      </c>
      <c r="S42" s="12">
        <f t="shared" si="95"/>
        <v>168.11135921418747</v>
      </c>
      <c r="T42" s="12">
        <f t="shared" si="95"/>
        <v>291.95844720125439</v>
      </c>
      <c r="U42" s="12">
        <f t="shared" si="95"/>
        <v>428.82584964691779</v>
      </c>
      <c r="V42" s="12">
        <f t="shared" si="95"/>
        <v>579.73899396331285</v>
      </c>
      <c r="W42" s="12">
        <f t="shared" si="95"/>
        <v>745.79432914157474</v>
      </c>
      <c r="X42" s="12">
        <f t="shared" si="95"/>
        <v>928.16389612125454</v>
      </c>
      <c r="Y42" s="12">
        <f t="shared" ref="Y42:AC42" si="96">+Y39-Y41</f>
        <v>1130.1164286000649</v>
      </c>
      <c r="Z42" s="12">
        <f t="shared" si="96"/>
        <v>1351.0392790544568</v>
      </c>
      <c r="AA42" s="12">
        <f t="shared" si="96"/>
        <v>1592.3637047446698</v>
      </c>
      <c r="AB42" s="12">
        <f t="shared" si="96"/>
        <v>1857.7980720488085</v>
      </c>
      <c r="AC42" s="12">
        <f t="shared" si="96"/>
        <v>2081.4869052320264</v>
      </c>
    </row>
    <row r="43" spans="1:31" x14ac:dyDescent="0.25">
      <c r="D43" s="11"/>
      <c r="E43" s="11"/>
      <c r="F43" s="11"/>
      <c r="G43" s="11"/>
      <c r="H43" s="11"/>
      <c r="I43" s="11"/>
      <c r="J43" s="78"/>
      <c r="K43" s="23"/>
    </row>
    <row r="44" spans="1:31" x14ac:dyDescent="0.25">
      <c r="A44" s="21" t="s">
        <v>26</v>
      </c>
      <c r="B44" s="21"/>
      <c r="C44" s="22">
        <v>4735</v>
      </c>
      <c r="D44" s="22">
        <v>5318</v>
      </c>
      <c r="E44" s="22">
        <f>5606+229</f>
        <v>5835</v>
      </c>
      <c r="F44" s="22">
        <v>6332</v>
      </c>
      <c r="G44" s="22">
        <v>6730</v>
      </c>
      <c r="H44" s="23">
        <v>7254</v>
      </c>
      <c r="I44" s="23">
        <f>7254+350+238</f>
        <v>7842</v>
      </c>
      <c r="J44" s="78">
        <v>8294</v>
      </c>
      <c r="K44" s="23">
        <f t="shared" ref="K44:X44" si="97">MAX(0,+J44-K42)</f>
        <v>8666</v>
      </c>
      <c r="L44" s="23">
        <f t="shared" si="97"/>
        <v>9073.3491266874989</v>
      </c>
      <c r="M44" s="23">
        <f t="shared" si="97"/>
        <v>9424.4031211139827</v>
      </c>
      <c r="N44" s="23">
        <f t="shared" si="97"/>
        <v>9711.6629600153919</v>
      </c>
      <c r="O44" s="23">
        <f t="shared" si="97"/>
        <v>9926.993834451685</v>
      </c>
      <c r="P44" s="23">
        <f t="shared" si="97"/>
        <v>10061.579486986751</v>
      </c>
      <c r="Q44" s="23">
        <f t="shared" si="97"/>
        <v>10105.873546261317</v>
      </c>
      <c r="R44" s="23">
        <f t="shared" si="97"/>
        <v>10049.547672071039</v>
      </c>
      <c r="S44" s="23">
        <f t="shared" si="97"/>
        <v>9881.4363128568511</v>
      </c>
      <c r="T44" s="23">
        <f t="shared" si="97"/>
        <v>9589.4778656555973</v>
      </c>
      <c r="U44" s="23">
        <f t="shared" si="97"/>
        <v>9160.6520160086802</v>
      </c>
      <c r="V44" s="23">
        <f t="shared" si="97"/>
        <v>8580.9130220453681</v>
      </c>
      <c r="W44" s="23">
        <f t="shared" si="97"/>
        <v>7835.1186929037931</v>
      </c>
      <c r="X44" s="23">
        <f t="shared" si="97"/>
        <v>6906.9547967825383</v>
      </c>
      <c r="Y44" s="23">
        <f t="shared" ref="Y44" si="98">MAX(0,+X44-Y42)</f>
        <v>5776.8383681824735</v>
      </c>
      <c r="Z44" s="23">
        <f t="shared" ref="Z44" si="99">MAX(0,+Y44-Z42)</f>
        <v>4425.7990891280169</v>
      </c>
      <c r="AA44" s="23">
        <f t="shared" ref="AA44" si="100">MAX(0,+Z44-AA42)</f>
        <v>2833.4353843833469</v>
      </c>
      <c r="AB44" s="23">
        <f t="shared" ref="AB44" si="101">MAX(0,+AA44-AB42)</f>
        <v>975.63731233453836</v>
      </c>
      <c r="AC44" s="23">
        <f t="shared" ref="AC44" si="102">MAX(0,+AB44-AC42)</f>
        <v>0</v>
      </c>
    </row>
    <row r="45" spans="1:31" x14ac:dyDescent="0.25">
      <c r="A45" s="21" t="s">
        <v>27</v>
      </c>
      <c r="B45" s="21"/>
      <c r="C45" s="22">
        <v>4731</v>
      </c>
      <c r="D45" s="22">
        <v>4752</v>
      </c>
      <c r="E45" s="22">
        <v>4776</v>
      </c>
      <c r="F45" s="22">
        <v>5144</v>
      </c>
      <c r="G45" s="22">
        <v>5444</v>
      </c>
      <c r="H45" s="24">
        <v>6424</v>
      </c>
      <c r="I45" s="24">
        <v>6773</v>
      </c>
      <c r="J45" s="68">
        <v>7482</v>
      </c>
      <c r="K45" s="24">
        <f t="shared" ref="K45:X45" si="103">IF(K44&gt;0,J45+K47,MAX(0,J45+K47-(K42-(J44-K44))))</f>
        <v>7500</v>
      </c>
      <c r="L45" s="24">
        <f t="shared" si="103"/>
        <v>7500</v>
      </c>
      <c r="M45" s="24">
        <f t="shared" si="103"/>
        <v>7500</v>
      </c>
      <c r="N45" s="24">
        <f t="shared" si="103"/>
        <v>7500</v>
      </c>
      <c r="O45" s="24">
        <f t="shared" si="103"/>
        <v>7500</v>
      </c>
      <c r="P45" s="24">
        <f t="shared" si="103"/>
        <v>7500</v>
      </c>
      <c r="Q45" s="24">
        <f t="shared" si="103"/>
        <v>7500</v>
      </c>
      <c r="R45" s="24">
        <f t="shared" si="103"/>
        <v>7500</v>
      </c>
      <c r="S45" s="24">
        <f t="shared" si="103"/>
        <v>7500</v>
      </c>
      <c r="T45" s="24">
        <f t="shared" si="103"/>
        <v>7500</v>
      </c>
      <c r="U45" s="24">
        <f t="shared" si="103"/>
        <v>7500</v>
      </c>
      <c r="V45" s="24">
        <f t="shared" si="103"/>
        <v>7500</v>
      </c>
      <c r="W45" s="24">
        <f t="shared" si="103"/>
        <v>7500</v>
      </c>
      <c r="X45" s="24">
        <f t="shared" si="103"/>
        <v>7500</v>
      </c>
      <c r="Y45" s="24">
        <f t="shared" ref="Y45" si="104">IF(Y44&gt;0,X45+Y47,MAX(0,X45+Y47-(Y42-(X44-Y44))))</f>
        <v>7500</v>
      </c>
      <c r="Z45" s="24">
        <f t="shared" ref="Z45" si="105">IF(Z44&gt;0,Y45+Z47,MAX(0,Y45+Z47-(Z42-(Y44-Z44))))</f>
        <v>7500</v>
      </c>
      <c r="AA45" s="24">
        <f t="shared" ref="AA45" si="106">IF(AA44&gt;0,Z45+AA47,MAX(0,Z45+AA47-(AA42-(Z44-AA44))))</f>
        <v>7500</v>
      </c>
      <c r="AB45" s="24">
        <f t="shared" ref="AB45" si="107">IF(AB44&gt;0,AA45+AB47,MAX(0,AA45+AB47-(AB42-(AA44-AB44))))</f>
        <v>7500</v>
      </c>
      <c r="AC45" s="24">
        <f t="shared" ref="AC45" si="108">IF(AC44&gt;0,AB45+AC47,MAX(0,AB45+AC47-(AC42-(AB44-AC44))))</f>
        <v>6394.150407102512</v>
      </c>
      <c r="AE45" s="59"/>
    </row>
    <row r="46" spans="1:31" x14ac:dyDescent="0.25">
      <c r="A46" t="s">
        <v>71</v>
      </c>
      <c r="C46" s="54"/>
      <c r="D46" s="101">
        <f>+D44-C44</f>
        <v>583</v>
      </c>
      <c r="E46" s="102">
        <f t="shared" ref="E46:AC46" si="109">+E44-D44</f>
        <v>517</v>
      </c>
      <c r="F46" s="102">
        <f t="shared" si="109"/>
        <v>497</v>
      </c>
      <c r="G46" s="102">
        <f t="shared" si="109"/>
        <v>398</v>
      </c>
      <c r="H46" s="43">
        <f t="shared" si="109"/>
        <v>524</v>
      </c>
      <c r="I46" s="43">
        <f t="shared" si="109"/>
        <v>588</v>
      </c>
      <c r="J46" s="68">
        <f t="shared" si="109"/>
        <v>452</v>
      </c>
      <c r="K46" s="24">
        <f t="shared" si="109"/>
        <v>372</v>
      </c>
      <c r="L46" s="4">
        <f t="shared" si="109"/>
        <v>407.34912668749894</v>
      </c>
      <c r="M46" s="4">
        <f t="shared" si="109"/>
        <v>351.05399442648377</v>
      </c>
      <c r="N46" s="4">
        <f t="shared" si="109"/>
        <v>287.25983890140924</v>
      </c>
      <c r="O46" s="4">
        <f t="shared" si="109"/>
        <v>215.33087443629302</v>
      </c>
      <c r="P46" s="4">
        <f t="shared" si="109"/>
        <v>134.5856525350664</v>
      </c>
      <c r="Q46" s="4">
        <f t="shared" si="109"/>
        <v>44.29405927456537</v>
      </c>
      <c r="R46" s="4">
        <f t="shared" si="109"/>
        <v>-56.325874190277318</v>
      </c>
      <c r="S46" s="4">
        <f t="shared" si="109"/>
        <v>-168.11135921418827</v>
      </c>
      <c r="T46" s="4">
        <f t="shared" si="109"/>
        <v>-291.95844720125388</v>
      </c>
      <c r="U46" s="4">
        <f t="shared" si="109"/>
        <v>-428.82584964691705</v>
      </c>
      <c r="V46" s="4">
        <f t="shared" si="109"/>
        <v>-579.73899396331217</v>
      </c>
      <c r="W46" s="4">
        <f t="shared" si="109"/>
        <v>-745.79432914157496</v>
      </c>
      <c r="X46" s="4">
        <f t="shared" si="109"/>
        <v>-928.16389612125477</v>
      </c>
      <c r="Y46" s="4">
        <f t="shared" si="109"/>
        <v>-1130.1164286000649</v>
      </c>
      <c r="Z46" s="4">
        <f t="shared" si="109"/>
        <v>-1351.0392790544565</v>
      </c>
      <c r="AA46" s="4">
        <f t="shared" si="109"/>
        <v>-1592.36370474467</v>
      </c>
      <c r="AB46" s="4">
        <f t="shared" si="109"/>
        <v>-1857.7980720488085</v>
      </c>
      <c r="AC46" s="4">
        <f t="shared" si="109"/>
        <v>-975.63731233453836</v>
      </c>
    </row>
    <row r="47" spans="1:31" x14ac:dyDescent="0.25">
      <c r="A47" t="s">
        <v>31</v>
      </c>
      <c r="C47" s="54"/>
      <c r="D47" s="54">
        <f>+D45-C45</f>
        <v>21</v>
      </c>
      <c r="E47" s="54">
        <f>+E45-D45</f>
        <v>24</v>
      </c>
      <c r="F47" s="54">
        <f>+F45-E45</f>
        <v>368</v>
      </c>
      <c r="G47" s="54">
        <f>+G45-F45</f>
        <v>300</v>
      </c>
      <c r="H47" s="59">
        <v>980</v>
      </c>
      <c r="I47">
        <v>349</v>
      </c>
      <c r="J47" s="65">
        <v>709</v>
      </c>
      <c r="K47" s="21">
        <f>IF(SUM($D47:J47)&lt;(7500-$C45),IF((10000*K6/1000+SUM($D47:J47))&lt;(7500-$C45),10000*K6/1000,7500-$C45-SUM($D47:J47)),0)</f>
        <v>18</v>
      </c>
      <c r="L47">
        <f>IF(SUM($D47:K47)&lt;(7500-$C45),IF((10000*L6/1000+SUM($D47:K47))&lt;(7500-$C45),10000*L6/1000,7500-$C45-SUM($D47:K47)),0)</f>
        <v>0</v>
      </c>
      <c r="M47">
        <f>IF(SUM($D47:L47)&lt;(7500-$C45),IF((10000*M6/1000+SUM($D47:L47))&lt;(7500-$C45),10000*M6/1000,7500-$C45-SUM($D47:L47)),0)</f>
        <v>0</v>
      </c>
      <c r="N47">
        <f>IF(SUM($D47:M47)&lt;(7500-$C45),IF((10000*N6/1000+SUM($D47:M47))&lt;(7500-$C45),10000*N6/1000,7500-$C45-SUM($D47:M47)),0)</f>
        <v>0</v>
      </c>
      <c r="O47">
        <f>IF(SUM($D47:N47)&lt;(7500-$C45),IF((10000*O6/1000+SUM($D47:N47))&lt;(7500-$C45),10000*O6/1000,7500-$C45-SUM($D47:N47)),0)</f>
        <v>0</v>
      </c>
      <c r="P47">
        <f>IF(SUM($D47:O47)&lt;(7500-$C45),IF((10000*P6/1000+SUM($D47:O47))&lt;(7500-$C45),10000*P6/1000,7500-$C45-SUM($D47:O47)),0)</f>
        <v>0</v>
      </c>
      <c r="Q47">
        <f>IF(SUM($D47:P47)&lt;(7500-$C45),IF((10000*Q6/1000+SUM($D47:P47))&lt;(7500-$C45),10000*Q6/1000,7500-$C45-SUM($D47:P47)),0)</f>
        <v>0</v>
      </c>
      <c r="R47">
        <f>IF(SUM($D47:Q47)&lt;(7500-$C45),IF((10000*R6/1000+SUM($D47:Q47))&lt;(7500-$C45),10000*R6/1000,7500-$C45-SUM($D47:Q47)),0)</f>
        <v>0</v>
      </c>
      <c r="S47">
        <f>IF(SUM($D47:R47)&lt;(7500-$C45),IF((10000*S6/1000+SUM($D47:R47))&lt;(7500-$C45),10000*S6/1000,7500-$C45-SUM($D47:R47)),0)</f>
        <v>0</v>
      </c>
      <c r="T47">
        <f>IF(SUM($D47:S47)&lt;(7500-$C45),IF((10000*T6/1000+SUM($D47:S47))&lt;(7500-$C45),10000*T6/1000,7500-$C45-SUM($D47:S47)),0)</f>
        <v>0</v>
      </c>
      <c r="U47">
        <f>IF(SUM($D47:T47)&lt;(7500-$C45),IF((10000*U6/1000+SUM($D47:T47))&lt;(7500-$C45),10000*U6/1000,7500-$C45-SUM($D47:T47)),0)</f>
        <v>0</v>
      </c>
      <c r="V47">
        <f>IF(SUM($D47:U47)&lt;(7500-$C45),IF((10000*V6/1000+SUM($D47:U47))&lt;(7500-$C45),10000*V6/1000,7500-$C45-SUM($D47:U47)),0)</f>
        <v>0</v>
      </c>
      <c r="W47">
        <f>IF(SUM($D47:V47)&lt;(7500-$C45),IF((10000*W6/1000+SUM($D47:V47))&lt;(7500-$C45),10000*W6/1000,7500-$C45-SUM($D47:V47)),0)</f>
        <v>0</v>
      </c>
      <c r="X47">
        <f>IF(SUM($D47:W47)&lt;(7500-$C45),IF((10000*X6/1000+SUM($D47:W47))&lt;(7500-$C45),10000*X6/1000,7500-$C45-SUM($D47:W47)),0)</f>
        <v>0</v>
      </c>
      <c r="Y47">
        <f>IF(SUM($D47:X47)&lt;(7500-$C45),IF((10000*Y6/1000+SUM($D47:X47))&lt;(7500-$C45),10000*Y6/1000,7500-$C45-SUM($D47:X47)),0)</f>
        <v>0</v>
      </c>
      <c r="Z47">
        <f>IF(SUM($D47:Y47)&lt;(7500-$C45),IF((10000*Z6/1000+SUM($D47:Y47))&lt;(7500-$C45),10000*Z6/1000,7500-$C45-SUM($D47:Y47)),0)</f>
        <v>0</v>
      </c>
      <c r="AA47">
        <f>IF(SUM($D47:Z47)&lt;(7500-$C45),IF((10000*AA6/1000+SUM($D47:Z47))&lt;(7500-$C45),10000*AA6/1000,7500-$C45-SUM($D47:Z47)),0)</f>
        <v>0</v>
      </c>
      <c r="AB47">
        <f>IF(SUM($D47:AA47)&lt;(7500-$C45),IF((10000*AB6/1000+SUM($D47:AA47))&lt;(7500-$C45),10000*AB6/1000,7500-$C45-SUM($D47:AA47)),0)</f>
        <v>0</v>
      </c>
      <c r="AC47">
        <f>IF(SUM($D47:AB47)&lt;(7500-$C45),IF((10000*AC6/1000+SUM($D47:AB47))&lt;(7500-$C45),10000*AC6/1000,7500-$C45-SUM($D47:AB47)),0)</f>
        <v>0</v>
      </c>
    </row>
    <row r="48" spans="1:31" x14ac:dyDescent="0.25">
      <c r="A48" t="s">
        <v>55</v>
      </c>
      <c r="C48">
        <v>8</v>
      </c>
      <c r="D48" s="11">
        <v>8</v>
      </c>
      <c r="E48" s="11">
        <v>2</v>
      </c>
      <c r="F48" s="11">
        <v>33</v>
      </c>
      <c r="G48" s="11">
        <v>22</v>
      </c>
      <c r="H48">
        <v>42</v>
      </c>
      <c r="I48" s="11">
        <v>12</v>
      </c>
      <c r="J48" s="78">
        <v>3</v>
      </c>
      <c r="K48" s="23">
        <f t="shared" ref="K48:X48" si="110">+J48</f>
        <v>3</v>
      </c>
      <c r="L48" s="11">
        <f t="shared" si="110"/>
        <v>3</v>
      </c>
      <c r="M48" s="11">
        <f t="shared" si="110"/>
        <v>3</v>
      </c>
      <c r="N48" s="11">
        <f t="shared" si="110"/>
        <v>3</v>
      </c>
      <c r="O48" s="11">
        <f t="shared" si="110"/>
        <v>3</v>
      </c>
      <c r="P48" s="11">
        <f t="shared" si="110"/>
        <v>3</v>
      </c>
      <c r="Q48" s="11">
        <f t="shared" si="110"/>
        <v>3</v>
      </c>
      <c r="R48" s="11">
        <f t="shared" si="110"/>
        <v>3</v>
      </c>
      <c r="S48" s="11">
        <f t="shared" si="110"/>
        <v>3</v>
      </c>
      <c r="T48" s="11">
        <f t="shared" si="110"/>
        <v>3</v>
      </c>
      <c r="U48" s="11">
        <f t="shared" si="110"/>
        <v>3</v>
      </c>
      <c r="V48" s="11">
        <f t="shared" si="110"/>
        <v>3</v>
      </c>
      <c r="W48" s="11">
        <f t="shared" si="110"/>
        <v>3</v>
      </c>
      <c r="X48" s="11">
        <f t="shared" si="110"/>
        <v>3</v>
      </c>
      <c r="Y48" s="11">
        <f t="shared" ref="Y48" si="111">+X48</f>
        <v>3</v>
      </c>
      <c r="Z48" s="11">
        <f t="shared" ref="Z48" si="112">+Y48</f>
        <v>3</v>
      </c>
      <c r="AA48" s="11">
        <f t="shared" ref="AA48" si="113">+Z48</f>
        <v>3</v>
      </c>
      <c r="AB48" s="11">
        <f t="shared" ref="AB48" si="114">+AA48</f>
        <v>3</v>
      </c>
      <c r="AC48" s="11">
        <f t="shared" ref="AC48" si="115">+AB48</f>
        <v>3</v>
      </c>
    </row>
    <row r="49" spans="1:29" x14ac:dyDescent="0.25">
      <c r="A49" t="s">
        <v>56</v>
      </c>
      <c r="C49">
        <f t="shared" ref="C49:F49" si="116">+C48-B48</f>
        <v>8</v>
      </c>
      <c r="D49" s="11">
        <f t="shared" si="116"/>
        <v>0</v>
      </c>
      <c r="E49" s="11">
        <f t="shared" si="116"/>
        <v>-6</v>
      </c>
      <c r="F49" s="11">
        <f t="shared" si="116"/>
        <v>31</v>
      </c>
      <c r="G49" s="11">
        <f>+G48-F48</f>
        <v>-11</v>
      </c>
      <c r="H49" s="11">
        <f>+H48-G48</f>
        <v>20</v>
      </c>
      <c r="I49" s="11">
        <f t="shared" ref="I49:X49" si="117">+I48-H48</f>
        <v>-30</v>
      </c>
      <c r="J49" s="78">
        <f t="shared" si="117"/>
        <v>-9</v>
      </c>
      <c r="K49" s="23">
        <f t="shared" si="117"/>
        <v>0</v>
      </c>
      <c r="L49" s="11">
        <f t="shared" si="117"/>
        <v>0</v>
      </c>
      <c r="M49" s="11">
        <f t="shared" si="117"/>
        <v>0</v>
      </c>
      <c r="N49" s="11">
        <f t="shared" si="117"/>
        <v>0</v>
      </c>
      <c r="O49" s="11">
        <f t="shared" si="117"/>
        <v>0</v>
      </c>
      <c r="P49" s="11">
        <f t="shared" si="117"/>
        <v>0</v>
      </c>
      <c r="Q49" s="11">
        <f t="shared" si="117"/>
        <v>0</v>
      </c>
      <c r="R49" s="11">
        <f t="shared" si="117"/>
        <v>0</v>
      </c>
      <c r="S49" s="11">
        <f t="shared" si="117"/>
        <v>0</v>
      </c>
      <c r="T49" s="11">
        <f t="shared" si="117"/>
        <v>0</v>
      </c>
      <c r="U49" s="11">
        <f t="shared" si="117"/>
        <v>0</v>
      </c>
      <c r="V49" s="11">
        <f t="shared" si="117"/>
        <v>0</v>
      </c>
      <c r="W49" s="11">
        <f t="shared" si="117"/>
        <v>0</v>
      </c>
      <c r="X49" s="11">
        <f t="shared" si="117"/>
        <v>0</v>
      </c>
      <c r="Y49" s="11">
        <f t="shared" ref="Y49" si="118">+Y48-X48</f>
        <v>0</v>
      </c>
      <c r="Z49" s="11">
        <f t="shared" ref="Z49" si="119">+Z48-Y48</f>
        <v>0</v>
      </c>
      <c r="AA49" s="11">
        <f t="shared" ref="AA49" si="120">+AA48-Z48</f>
        <v>0</v>
      </c>
      <c r="AB49" s="11">
        <f t="shared" ref="AB49" si="121">+AB48-AA48</f>
        <v>0</v>
      </c>
      <c r="AC49" s="11">
        <f t="shared" ref="AC49" si="122">+AC48-AB48</f>
        <v>0</v>
      </c>
    </row>
    <row r="50" spans="1:29" x14ac:dyDescent="0.25">
      <c r="D50" s="59"/>
      <c r="E50" s="59"/>
      <c r="F50" s="59"/>
      <c r="G50" s="59"/>
      <c r="H50" s="59"/>
      <c r="I50" s="59"/>
      <c r="J50" s="65"/>
      <c r="K50" s="21"/>
    </row>
    <row r="72" spans="1:29" x14ac:dyDescent="0.25">
      <c r="C72" s="4"/>
    </row>
    <row r="74" spans="1:29" x14ac:dyDescent="0.25">
      <c r="A74" t="s">
        <v>62</v>
      </c>
      <c r="C74" s="10">
        <f t="shared" ref="C74:E74" si="123">+C34-C18+C23+C29</f>
        <v>-299</v>
      </c>
      <c r="D74" s="10">
        <f t="shared" si="123"/>
        <v>-200</v>
      </c>
      <c r="E74" s="10">
        <f t="shared" si="123"/>
        <v>-214</v>
      </c>
      <c r="F74" s="10">
        <f>+F34-F18+F23+F29</f>
        <v>-173</v>
      </c>
      <c r="G74" s="10">
        <f t="shared" ref="G74:AC74" si="124">+G34-G18+G23+G29</f>
        <v>-161</v>
      </c>
      <c r="H74" s="10">
        <f t="shared" si="124"/>
        <v>-122</v>
      </c>
      <c r="I74" s="10">
        <f t="shared" si="124"/>
        <v>-143</v>
      </c>
      <c r="J74" s="10">
        <f t="shared" si="124"/>
        <v>-38</v>
      </c>
      <c r="K74" s="10">
        <f t="shared" si="124"/>
        <v>36</v>
      </c>
      <c r="L74" s="10">
        <f t="shared" si="124"/>
        <v>68.766050000000121</v>
      </c>
      <c r="M74" s="10">
        <f t="shared" si="124"/>
        <v>126.63066943750013</v>
      </c>
      <c r="N74" s="10">
        <f t="shared" si="124"/>
        <v>189.81012772489041</v>
      </c>
      <c r="O74" s="10">
        <f t="shared" si="124"/>
        <v>258.68362462383487</v>
      </c>
      <c r="P74" s="10">
        <f t="shared" si="124"/>
        <v>333.65479497010801</v>
      </c>
      <c r="Q74" s="10">
        <f t="shared" si="124"/>
        <v>415.15319883282365</v>
      </c>
      <c r="R74" s="10">
        <f t="shared" si="124"/>
        <v>503.63589944566542</v>
      </c>
      <c r="S74" s="10">
        <f t="shared" si="124"/>
        <v>599.58913395678303</v>
      </c>
      <c r="T74" s="10">
        <f t="shared" si="124"/>
        <v>703.53008232901709</v>
      </c>
      <c r="U74" s="10">
        <f t="shared" si="124"/>
        <v>816.00874002305568</v>
      </c>
      <c r="V74" s="10">
        <f t="shared" si="124"/>
        <v>937.60990041376954</v>
      </c>
      <c r="W74" s="10">
        <f t="shared" si="124"/>
        <v>1068.9552532253331</v>
      </c>
      <c r="X74" s="10">
        <f t="shared" si="124"/>
        <v>1210.7056056247263</v>
      </c>
      <c r="Y74" s="10">
        <f t="shared" si="124"/>
        <v>1365.5632329868488</v>
      </c>
      <c r="Z74" s="10">
        <f t="shared" si="124"/>
        <v>1532.2743667389514</v>
      </c>
      <c r="AA74" s="10">
        <f t="shared" si="124"/>
        <v>1711.6318271083439</v>
      </c>
      <c r="AB74" s="10">
        <f t="shared" si="124"/>
        <v>1906.6231381822677</v>
      </c>
      <c r="AC74" s="10">
        <f t="shared" si="124"/>
        <v>2068.9075135369453</v>
      </c>
    </row>
    <row r="75" spans="1:29" x14ac:dyDescent="0.25">
      <c r="A75" t="s">
        <v>63</v>
      </c>
      <c r="C75" s="90">
        <f>+C34-C74</f>
        <v>-310</v>
      </c>
      <c r="D75" s="90">
        <f t="shared" ref="D75:AC75" si="125">+D34-D74</f>
        <v>-199</v>
      </c>
      <c r="E75" s="90">
        <f t="shared" si="125"/>
        <v>-71</v>
      </c>
      <c r="F75" s="90">
        <f t="shared" si="125"/>
        <v>-83</v>
      </c>
      <c r="G75" s="90">
        <f t="shared" si="125"/>
        <v>-73</v>
      </c>
      <c r="H75" s="90">
        <f t="shared" si="125"/>
        <v>-101</v>
      </c>
      <c r="I75" s="90">
        <f t="shared" si="125"/>
        <v>-162</v>
      </c>
      <c r="J75" s="90">
        <f t="shared" si="125"/>
        <v>-164</v>
      </c>
      <c r="K75" s="90">
        <f t="shared" si="125"/>
        <v>-188</v>
      </c>
      <c r="L75" s="90">
        <f t="shared" si="125"/>
        <v>-177.7</v>
      </c>
      <c r="M75" s="90">
        <f t="shared" si="125"/>
        <v>-167.14250000000001</v>
      </c>
      <c r="N75" s="90">
        <f t="shared" si="125"/>
        <v>-156.3210624999999</v>
      </c>
      <c r="O75" s="90">
        <f t="shared" si="125"/>
        <v>-145.2290890624999</v>
      </c>
      <c r="P75" s="90">
        <f t="shared" si="125"/>
        <v>-133.85981628906234</v>
      </c>
      <c r="Q75" s="90">
        <f t="shared" si="125"/>
        <v>-122.20631169628888</v>
      </c>
      <c r="R75" s="90">
        <f t="shared" si="125"/>
        <v>-110.26146948869604</v>
      </c>
      <c r="S75" s="90">
        <f t="shared" si="125"/>
        <v>-98.018006225913382</v>
      </c>
      <c r="T75" s="90">
        <f t="shared" si="125"/>
        <v>-85.468456381561168</v>
      </c>
      <c r="U75" s="90">
        <f t="shared" si="125"/>
        <v>-72.605167791100257</v>
      </c>
      <c r="V75" s="90">
        <f t="shared" si="125"/>
        <v>-59.420296985877712</v>
      </c>
      <c r="W75" s="90">
        <f t="shared" si="125"/>
        <v>-45.905804410524524</v>
      </c>
      <c r="X75" s="90">
        <f t="shared" si="125"/>
        <v>-32.053449520787581</v>
      </c>
      <c r="Y75" s="90">
        <f t="shared" si="125"/>
        <v>-17.854785758807111</v>
      </c>
      <c r="Z75" s="90">
        <f t="shared" si="125"/>
        <v>-3.3011554027771126</v>
      </c>
      <c r="AA75" s="90">
        <f t="shared" si="125"/>
        <v>11.616315712153437</v>
      </c>
      <c r="AB75" s="90">
        <f t="shared" si="125"/>
        <v>26.906723604957278</v>
      </c>
      <c r="AC75" s="90">
        <f t="shared" si="125"/>
        <v>27.579391695081085</v>
      </c>
    </row>
    <row r="76" spans="1:29" x14ac:dyDescent="0.25">
      <c r="A76" t="s">
        <v>64</v>
      </c>
      <c r="C76" s="10">
        <f t="shared" ref="C76:X76" si="126">+C74+C75</f>
        <v>-609</v>
      </c>
      <c r="D76" s="10">
        <f t="shared" si="126"/>
        <v>-399</v>
      </c>
      <c r="E76" s="10">
        <f t="shared" si="126"/>
        <v>-285</v>
      </c>
      <c r="F76" s="10">
        <f t="shared" si="126"/>
        <v>-256</v>
      </c>
      <c r="G76" s="10">
        <f t="shared" si="126"/>
        <v>-234</v>
      </c>
      <c r="H76" s="10">
        <f t="shared" si="126"/>
        <v>-223</v>
      </c>
      <c r="I76" s="10">
        <f t="shared" si="126"/>
        <v>-305</v>
      </c>
      <c r="J76" s="10">
        <f t="shared" si="126"/>
        <v>-202</v>
      </c>
      <c r="K76" s="10">
        <f t="shared" si="126"/>
        <v>-152</v>
      </c>
      <c r="L76" s="10">
        <f t="shared" si="126"/>
        <v>-108.93394999999987</v>
      </c>
      <c r="M76" s="10">
        <f t="shared" si="126"/>
        <v>-40.511830562499881</v>
      </c>
      <c r="N76" s="10">
        <f t="shared" si="126"/>
        <v>33.48906522489051</v>
      </c>
      <c r="O76" s="10">
        <f t="shared" si="126"/>
        <v>113.45453556133498</v>
      </c>
      <c r="P76" s="10">
        <f t="shared" si="126"/>
        <v>199.79497868104568</v>
      </c>
      <c r="Q76" s="10">
        <f t="shared" si="126"/>
        <v>292.94688713653477</v>
      </c>
      <c r="R76" s="10">
        <f t="shared" si="126"/>
        <v>393.37442995696938</v>
      </c>
      <c r="S76" s="10">
        <f t="shared" si="126"/>
        <v>501.57112773086965</v>
      </c>
      <c r="T76" s="10">
        <f t="shared" si="126"/>
        <v>618.06162594745592</v>
      </c>
      <c r="U76" s="10">
        <f t="shared" si="126"/>
        <v>743.40357223195542</v>
      </c>
      <c r="V76" s="10">
        <f t="shared" si="126"/>
        <v>878.18960342789183</v>
      </c>
      <c r="W76" s="10">
        <f t="shared" si="126"/>
        <v>1023.0494488148086</v>
      </c>
      <c r="X76" s="10">
        <f t="shared" si="126"/>
        <v>1178.6521561039388</v>
      </c>
      <c r="Y76" s="10">
        <f t="shared" ref="Y76:AC76" si="127">+Y74+Y75</f>
        <v>1347.7084472280417</v>
      </c>
      <c r="Z76" s="10">
        <f t="shared" si="127"/>
        <v>1528.9732113361742</v>
      </c>
      <c r="AA76" s="10">
        <f t="shared" si="127"/>
        <v>1723.2481428204974</v>
      </c>
      <c r="AB76" s="10">
        <f t="shared" si="127"/>
        <v>1933.5298617872249</v>
      </c>
      <c r="AC76" s="10">
        <f t="shared" si="127"/>
        <v>2096.4869052320264</v>
      </c>
    </row>
    <row r="80" spans="1:29" x14ac:dyDescent="0.25">
      <c r="D80" s="59"/>
      <c r="E80" s="59"/>
      <c r="F80" s="59"/>
      <c r="G80" s="59"/>
      <c r="H80" s="59"/>
      <c r="I80" s="59"/>
      <c r="J80" s="59"/>
      <c r="K80" s="59"/>
      <c r="L80" s="59"/>
      <c r="M80" s="59"/>
      <c r="N80" s="59"/>
      <c r="O80" s="59"/>
      <c r="P80" s="59"/>
      <c r="Q80" s="59"/>
      <c r="R80" s="59"/>
      <c r="S80" s="59"/>
      <c r="T80" s="59"/>
    </row>
    <row r="81" spans="6:29" x14ac:dyDescent="0.25">
      <c r="F81" s="59"/>
      <c r="G81" s="59"/>
      <c r="H81" s="59"/>
      <c r="I81" s="59"/>
      <c r="J81" s="59"/>
      <c r="K81" s="59"/>
      <c r="L81" s="59"/>
      <c r="M81" s="59"/>
      <c r="N81" s="59"/>
      <c r="O81" s="59"/>
      <c r="P81" s="59"/>
      <c r="Q81" s="59"/>
      <c r="R81" s="59"/>
      <c r="S81" s="59"/>
      <c r="T81" s="59"/>
      <c r="U81" s="59"/>
      <c r="V81" s="59"/>
      <c r="W81" s="59"/>
      <c r="X81" s="59"/>
      <c r="Y81" s="59"/>
      <c r="Z81" s="59"/>
      <c r="AA81" s="59"/>
      <c r="AB81" s="59"/>
      <c r="AC81" s="59"/>
    </row>
    <row r="85" spans="6:29" x14ac:dyDescent="0.25">
      <c r="H85" s="10"/>
      <c r="K85" s="111"/>
      <c r="L85" s="111"/>
      <c r="M85" s="111"/>
      <c r="N85" s="111"/>
      <c r="O85" s="111"/>
      <c r="P85" s="111"/>
      <c r="Q85" s="111"/>
      <c r="R85" s="111"/>
      <c r="S85" s="111"/>
      <c r="T85" s="111"/>
      <c r="U85" s="111"/>
      <c r="V85" s="111"/>
      <c r="W85" s="111"/>
      <c r="X85" s="111"/>
      <c r="Y85" s="111"/>
      <c r="Z85" s="111"/>
      <c r="AA85" s="111"/>
      <c r="AB85" s="111"/>
      <c r="AC85" s="111"/>
    </row>
    <row r="87" spans="6:29" x14ac:dyDescent="0.25">
      <c r="L87" s="103"/>
    </row>
    <row r="90" spans="6:29" x14ac:dyDescent="0.25"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  <c r="AA90" s="10"/>
      <c r="AB90" s="10"/>
      <c r="AC90" s="10"/>
    </row>
  </sheetData>
  <pageMargins left="0.7" right="0.7" top="0.75" bottom="0.75" header="0.3" footer="0.3"/>
  <pageSetup paperSize="17" scale="65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06C23F-2C25-4C7D-9E9E-A56E621971B7}">
  <sheetPr>
    <pageSetUpPr fitToPage="1"/>
  </sheetPr>
  <dimension ref="A1:AE90"/>
  <sheetViews>
    <sheetView workbookViewId="0"/>
  </sheetViews>
  <sheetFormatPr defaultRowHeight="15" x14ac:dyDescent="0.25"/>
  <cols>
    <col min="1" max="1" width="26.140625" customWidth="1"/>
    <col min="2" max="2" width="11.28515625" customWidth="1"/>
    <col min="3" max="3" width="11.5703125" hidden="1" customWidth="1"/>
    <col min="4" max="4" width="9.5703125" hidden="1" customWidth="1"/>
    <col min="5" max="5" width="10.5703125" hidden="1" customWidth="1"/>
    <col min="6" max="6" width="10" customWidth="1"/>
    <col min="7" max="7" width="9.42578125" customWidth="1"/>
    <col min="8" max="10" width="8.5703125" customWidth="1"/>
    <col min="11" max="11" width="9.42578125" customWidth="1"/>
    <col min="12" max="29" width="8.5703125" customWidth="1"/>
  </cols>
  <sheetData>
    <row r="1" spans="1:29" ht="23.25" customHeight="1" x14ac:dyDescent="0.4">
      <c r="A1" s="19" t="s">
        <v>22</v>
      </c>
    </row>
    <row r="2" spans="1:29" ht="18.75" x14ac:dyDescent="0.3">
      <c r="A2" s="20" t="s">
        <v>73</v>
      </c>
      <c r="G2" s="10"/>
      <c r="H2" s="79"/>
      <c r="I2" s="79"/>
      <c r="J2" s="79"/>
      <c r="K2" s="79"/>
      <c r="L2" s="118" t="s">
        <v>57</v>
      </c>
    </row>
    <row r="3" spans="1:29" x14ac:dyDescent="0.25">
      <c r="A3" t="s">
        <v>28</v>
      </c>
      <c r="C3" s="14">
        <v>2009</v>
      </c>
      <c r="D3" s="14">
        <v>2010</v>
      </c>
      <c r="E3" s="14">
        <v>2011</v>
      </c>
      <c r="F3" s="14">
        <v>2012</v>
      </c>
      <c r="G3" s="14">
        <f t="shared" ref="G3:V3" si="0">+F3+1</f>
        <v>2013</v>
      </c>
      <c r="H3" s="14">
        <f t="shared" si="0"/>
        <v>2014</v>
      </c>
      <c r="I3" s="14">
        <f t="shared" si="0"/>
        <v>2015</v>
      </c>
      <c r="J3" s="14">
        <f t="shared" si="0"/>
        <v>2016</v>
      </c>
      <c r="K3" s="64">
        <f t="shared" si="0"/>
        <v>2017</v>
      </c>
      <c r="L3" s="27">
        <f t="shared" si="0"/>
        <v>2018</v>
      </c>
      <c r="M3" s="14">
        <f t="shared" si="0"/>
        <v>2019</v>
      </c>
      <c r="N3" s="14">
        <f t="shared" si="0"/>
        <v>2020</v>
      </c>
      <c r="O3" s="14">
        <f t="shared" si="0"/>
        <v>2021</v>
      </c>
      <c r="P3" s="14">
        <f t="shared" si="0"/>
        <v>2022</v>
      </c>
      <c r="Q3" s="14">
        <f t="shared" si="0"/>
        <v>2023</v>
      </c>
      <c r="R3" s="14">
        <f t="shared" si="0"/>
        <v>2024</v>
      </c>
      <c r="S3" s="14">
        <f t="shared" si="0"/>
        <v>2025</v>
      </c>
      <c r="T3" s="14">
        <f t="shared" si="0"/>
        <v>2026</v>
      </c>
      <c r="U3" s="14">
        <f t="shared" si="0"/>
        <v>2027</v>
      </c>
      <c r="V3" s="14">
        <f t="shared" si="0"/>
        <v>2028</v>
      </c>
      <c r="W3" s="14">
        <f>+V3+1</f>
        <v>2029</v>
      </c>
      <c r="X3" s="14">
        <f>+W3+1</f>
        <v>2030</v>
      </c>
      <c r="Y3" s="14">
        <f t="shared" ref="Y3:AC3" si="1">+X3+1</f>
        <v>2031</v>
      </c>
      <c r="Z3" s="14">
        <f t="shared" si="1"/>
        <v>2032</v>
      </c>
      <c r="AA3" s="14">
        <f t="shared" si="1"/>
        <v>2033</v>
      </c>
      <c r="AB3" s="14">
        <f t="shared" si="1"/>
        <v>2034</v>
      </c>
      <c r="AC3" s="14">
        <f t="shared" si="1"/>
        <v>2035</v>
      </c>
    </row>
    <row r="4" spans="1:29" x14ac:dyDescent="0.25">
      <c r="K4" s="65"/>
      <c r="L4" s="21"/>
    </row>
    <row r="5" spans="1:29" s="4" customFormat="1" x14ac:dyDescent="0.25">
      <c r="A5" s="104" t="s">
        <v>50</v>
      </c>
      <c r="C5" s="43">
        <v>332</v>
      </c>
      <c r="D5" s="43">
        <f>+C5+D6</f>
        <v>379</v>
      </c>
      <c r="E5" s="43">
        <f t="shared" ref="E5:AC5" si="2">+D5+E6</f>
        <v>424</v>
      </c>
      <c r="F5" s="43">
        <f t="shared" si="2"/>
        <v>468</v>
      </c>
      <c r="G5" s="43">
        <f t="shared" si="2"/>
        <v>510</v>
      </c>
      <c r="H5" s="43">
        <f t="shared" si="2"/>
        <v>544</v>
      </c>
      <c r="I5" s="43">
        <f t="shared" si="2"/>
        <v>581</v>
      </c>
      <c r="J5" s="43">
        <f t="shared" si="2"/>
        <v>615</v>
      </c>
      <c r="K5" s="68">
        <f t="shared" si="2"/>
        <v>671</v>
      </c>
      <c r="L5" s="24">
        <f t="shared" si="2"/>
        <v>713</v>
      </c>
      <c r="M5" s="4">
        <f t="shared" si="2"/>
        <v>755</v>
      </c>
      <c r="N5" s="4">
        <f t="shared" si="2"/>
        <v>797</v>
      </c>
      <c r="O5" s="4">
        <f t="shared" si="2"/>
        <v>839</v>
      </c>
      <c r="P5" s="4">
        <f t="shared" si="2"/>
        <v>881</v>
      </c>
      <c r="Q5" s="4">
        <f t="shared" si="2"/>
        <v>923</v>
      </c>
      <c r="R5" s="4">
        <f t="shared" si="2"/>
        <v>965</v>
      </c>
      <c r="S5" s="4">
        <f t="shared" si="2"/>
        <v>1007</v>
      </c>
      <c r="T5" s="4">
        <f t="shared" si="2"/>
        <v>1049</v>
      </c>
      <c r="U5" s="4">
        <f t="shared" si="2"/>
        <v>1091</v>
      </c>
      <c r="V5" s="4">
        <f t="shared" si="2"/>
        <v>1133</v>
      </c>
      <c r="W5" s="4">
        <f t="shared" si="2"/>
        <v>1175</v>
      </c>
      <c r="X5" s="4">
        <f t="shared" si="2"/>
        <v>1217</v>
      </c>
      <c r="Y5" s="4">
        <f t="shared" si="2"/>
        <v>1259</v>
      </c>
      <c r="Z5" s="4">
        <f t="shared" si="2"/>
        <v>1301</v>
      </c>
      <c r="AA5" s="4">
        <f t="shared" si="2"/>
        <v>1343</v>
      </c>
      <c r="AB5" s="4">
        <f t="shared" si="2"/>
        <v>1369</v>
      </c>
      <c r="AC5" s="4">
        <f t="shared" si="2"/>
        <v>1369</v>
      </c>
    </row>
    <row r="6" spans="1:29" x14ac:dyDescent="0.25">
      <c r="A6" s="1" t="s">
        <v>68</v>
      </c>
      <c r="D6" s="3">
        <v>47</v>
      </c>
      <c r="E6" s="3">
        <v>45</v>
      </c>
      <c r="F6" s="3">
        <v>44</v>
      </c>
      <c r="G6" s="3">
        <v>42</v>
      </c>
      <c r="H6" s="3">
        <v>34</v>
      </c>
      <c r="I6" s="3">
        <v>37</v>
      </c>
      <c r="J6" s="3">
        <v>34</v>
      </c>
      <c r="K6" s="66">
        <v>56</v>
      </c>
      <c r="L6" s="28">
        <v>42</v>
      </c>
      <c r="M6" s="3">
        <v>42</v>
      </c>
      <c r="N6" s="3">
        <v>42</v>
      </c>
      <c r="O6" s="3">
        <v>42</v>
      </c>
      <c r="P6" s="3">
        <v>42</v>
      </c>
      <c r="Q6" s="3">
        <v>42</v>
      </c>
      <c r="R6" s="3">
        <v>42</v>
      </c>
      <c r="S6" s="3">
        <v>42</v>
      </c>
      <c r="T6" s="3">
        <v>42</v>
      </c>
      <c r="U6" s="3">
        <v>42</v>
      </c>
      <c r="V6" s="3">
        <v>42</v>
      </c>
      <c r="W6" s="3">
        <v>42</v>
      </c>
      <c r="X6" s="3">
        <v>42</v>
      </c>
      <c r="Y6" s="3">
        <v>42</v>
      </c>
      <c r="Z6" s="3">
        <v>42</v>
      </c>
      <c r="AA6" s="3">
        <v>42</v>
      </c>
      <c r="AB6" s="3">
        <v>26</v>
      </c>
      <c r="AC6" s="3">
        <v>0</v>
      </c>
    </row>
    <row r="7" spans="1:29" s="105" customFormat="1" x14ac:dyDescent="0.25">
      <c r="A7" s="105" t="s">
        <v>32</v>
      </c>
      <c r="D7" s="106">
        <f>+D8/C8-1</f>
        <v>9.8654708520179435E-2</v>
      </c>
      <c r="E7" s="106">
        <v>0</v>
      </c>
      <c r="F7" s="106">
        <v>0.05</v>
      </c>
      <c r="G7" s="106">
        <v>0.05</v>
      </c>
      <c r="H7" s="107">
        <v>0.05</v>
      </c>
      <c r="I7" s="107">
        <v>0.05</v>
      </c>
      <c r="J7" s="107">
        <v>0.05</v>
      </c>
      <c r="K7" s="108">
        <v>0</v>
      </c>
      <c r="L7" s="119">
        <f>+L8/K8-1</f>
        <v>5.1282051282051322E-2</v>
      </c>
      <c r="M7" s="120">
        <v>0.05</v>
      </c>
      <c r="N7" s="120">
        <v>0.05</v>
      </c>
      <c r="O7" s="120">
        <v>0.05</v>
      </c>
      <c r="P7" s="120">
        <v>0.05</v>
      </c>
      <c r="Q7" s="120">
        <v>0.05</v>
      </c>
      <c r="R7" s="120">
        <v>0.05</v>
      </c>
      <c r="S7" s="120">
        <v>0.05</v>
      </c>
      <c r="T7" s="120">
        <v>0.05</v>
      </c>
      <c r="U7" s="120">
        <v>0.05</v>
      </c>
      <c r="V7" s="120">
        <v>0.05</v>
      </c>
      <c r="W7" s="120">
        <v>0.05</v>
      </c>
      <c r="X7" s="120">
        <v>0.05</v>
      </c>
      <c r="Y7" s="120">
        <v>0.05</v>
      </c>
      <c r="Z7" s="120">
        <v>0.05</v>
      </c>
      <c r="AA7" s="120">
        <v>0.05</v>
      </c>
      <c r="AB7" s="120">
        <v>0.05</v>
      </c>
      <c r="AC7" s="120">
        <v>0.05</v>
      </c>
    </row>
    <row r="8" spans="1:29" x14ac:dyDescent="0.25">
      <c r="A8" t="s">
        <v>3</v>
      </c>
      <c r="C8" s="3">
        <f>55.75*12</f>
        <v>669</v>
      </c>
      <c r="D8" s="3">
        <v>735</v>
      </c>
      <c r="E8" s="3">
        <v>735</v>
      </c>
      <c r="F8" s="121">
        <v>772</v>
      </c>
      <c r="G8" s="121">
        <v>810</v>
      </c>
      <c r="H8" s="122">
        <v>850</v>
      </c>
      <c r="I8" s="122">
        <v>892</v>
      </c>
      <c r="J8" s="122">
        <v>936</v>
      </c>
      <c r="K8" s="123">
        <v>936</v>
      </c>
      <c r="L8" s="124">
        <v>984</v>
      </c>
      <c r="M8" s="4">
        <f>+L8*(1+M7)</f>
        <v>1033.2</v>
      </c>
      <c r="N8" s="4">
        <f t="shared" ref="N8:Q8" si="3">MIN(1.05*M8,1200*1.025^(N3-$F3))</f>
        <v>1084.8600000000001</v>
      </c>
      <c r="O8" s="4">
        <f t="shared" si="3"/>
        <v>1139.1030000000003</v>
      </c>
      <c r="P8" s="4">
        <f t="shared" si="3"/>
        <v>1196.0581500000003</v>
      </c>
      <c r="Q8" s="4">
        <f t="shared" si="3"/>
        <v>1255.8610575000005</v>
      </c>
      <c r="R8" s="4">
        <f>MIN(1.05*Q8,1200*1.025^(R3-$F3))</f>
        <v>1318.6541103750005</v>
      </c>
      <c r="S8" s="4">
        <f>MIN(1.05*R8,1200*1.025^(S3-$F3))</f>
        <v>1384.5868158937506</v>
      </c>
      <c r="T8" s="4">
        <f t="shared" ref="T8:W8" si="4">MIN(1.05*S8,1200*1.025^(T3-$F3))</f>
        <v>1453.8161566884382</v>
      </c>
      <c r="U8" s="4">
        <f t="shared" si="4"/>
        <v>1526.5069645228602</v>
      </c>
      <c r="V8" s="4">
        <f t="shared" si="4"/>
        <v>1602.8323127490032</v>
      </c>
      <c r="W8" s="4">
        <f t="shared" si="4"/>
        <v>1682.9739283864535</v>
      </c>
      <c r="X8" s="4">
        <f t="shared" ref="X8:AC8" si="5">MIN(1.05*W8,1200*1.025^(X3-$F3))</f>
        <v>1767.1226248057762</v>
      </c>
      <c r="Y8" s="4">
        <f t="shared" si="5"/>
        <v>1855.4787560460652</v>
      </c>
      <c r="Z8" s="4">
        <f t="shared" si="5"/>
        <v>1948.2526938483686</v>
      </c>
      <c r="AA8" s="4">
        <f t="shared" si="5"/>
        <v>2015.4982215571863</v>
      </c>
      <c r="AB8" s="4">
        <f t="shared" si="5"/>
        <v>2065.8856770961161</v>
      </c>
      <c r="AC8" s="4">
        <f t="shared" si="5"/>
        <v>2117.5328190235191</v>
      </c>
    </row>
    <row r="9" spans="1:29" x14ac:dyDescent="0.25">
      <c r="A9" t="s">
        <v>4</v>
      </c>
      <c r="E9" s="44"/>
      <c r="F9" s="51"/>
      <c r="G9" s="44"/>
      <c r="H9" s="44"/>
      <c r="I9" s="44"/>
      <c r="J9" s="51"/>
      <c r="K9" s="97"/>
      <c r="L9" s="47">
        <v>2.5000000000000001E-2</v>
      </c>
      <c r="M9" s="17">
        <f t="shared" ref="M9:AB9" si="6">+L9</f>
        <v>2.5000000000000001E-2</v>
      </c>
      <c r="N9" s="17">
        <f t="shared" si="6"/>
        <v>2.5000000000000001E-2</v>
      </c>
      <c r="O9" s="17">
        <f t="shared" si="6"/>
        <v>2.5000000000000001E-2</v>
      </c>
      <c r="P9" s="17">
        <f t="shared" si="6"/>
        <v>2.5000000000000001E-2</v>
      </c>
      <c r="Q9" s="17">
        <f t="shared" si="6"/>
        <v>2.5000000000000001E-2</v>
      </c>
      <c r="R9" s="17">
        <f t="shared" si="6"/>
        <v>2.5000000000000001E-2</v>
      </c>
      <c r="S9" s="17">
        <f t="shared" si="6"/>
        <v>2.5000000000000001E-2</v>
      </c>
      <c r="T9" s="17">
        <f t="shared" si="6"/>
        <v>2.5000000000000001E-2</v>
      </c>
      <c r="U9" s="17">
        <f t="shared" si="6"/>
        <v>2.5000000000000001E-2</v>
      </c>
      <c r="V9" s="17">
        <f t="shared" si="6"/>
        <v>2.5000000000000001E-2</v>
      </c>
      <c r="W9" s="17">
        <f t="shared" si="6"/>
        <v>2.5000000000000001E-2</v>
      </c>
      <c r="X9" s="17">
        <f t="shared" si="6"/>
        <v>2.5000000000000001E-2</v>
      </c>
      <c r="Y9" s="17">
        <f t="shared" si="6"/>
        <v>2.5000000000000001E-2</v>
      </c>
      <c r="Z9" s="17">
        <f t="shared" si="6"/>
        <v>2.5000000000000001E-2</v>
      </c>
      <c r="AA9" s="17">
        <f t="shared" si="6"/>
        <v>2.5000000000000001E-2</v>
      </c>
      <c r="AB9" s="17">
        <f t="shared" si="6"/>
        <v>2.5000000000000001E-2</v>
      </c>
      <c r="AC9" s="17">
        <f t="shared" ref="AC9" si="7">+AB9</f>
        <v>2.5000000000000001E-2</v>
      </c>
    </row>
    <row r="10" spans="1:29" x14ac:dyDescent="0.25">
      <c r="A10" t="s">
        <v>24</v>
      </c>
      <c r="E10" s="45"/>
      <c r="F10" s="45"/>
      <c r="G10" s="45"/>
      <c r="H10" s="45"/>
      <c r="I10" s="45"/>
      <c r="J10" s="45"/>
      <c r="K10" s="70"/>
      <c r="L10" s="37">
        <v>0</v>
      </c>
      <c r="M10" s="16">
        <v>10</v>
      </c>
      <c r="N10" s="16">
        <v>10</v>
      </c>
      <c r="O10" s="16">
        <v>10</v>
      </c>
      <c r="P10" s="16">
        <v>10</v>
      </c>
      <c r="Q10" s="16">
        <v>10</v>
      </c>
      <c r="R10" s="16">
        <v>0</v>
      </c>
      <c r="S10" s="16">
        <v>0</v>
      </c>
      <c r="T10" s="16">
        <v>0</v>
      </c>
      <c r="U10" s="16">
        <v>0</v>
      </c>
      <c r="V10" s="16">
        <v>0</v>
      </c>
      <c r="W10" s="16">
        <v>0</v>
      </c>
      <c r="X10" s="16">
        <v>0</v>
      </c>
      <c r="Y10" s="16">
        <v>0</v>
      </c>
      <c r="Z10" s="16">
        <v>0</v>
      </c>
      <c r="AA10" s="16">
        <v>0</v>
      </c>
      <c r="AB10" s="16">
        <v>0</v>
      </c>
      <c r="AC10" s="16">
        <v>0</v>
      </c>
    </row>
    <row r="11" spans="1:29" x14ac:dyDescent="0.25">
      <c r="A11" t="s">
        <v>25</v>
      </c>
      <c r="D11" s="18">
        <v>4.2500000000000003E-2</v>
      </c>
      <c r="E11" s="46">
        <v>4.2500000000000003E-2</v>
      </c>
      <c r="F11" s="46">
        <v>4.2500000000000003E-2</v>
      </c>
      <c r="G11" s="62">
        <v>3.2500000000000001E-2</v>
      </c>
      <c r="H11" s="62">
        <v>3.2500000000000001E-2</v>
      </c>
      <c r="I11" s="62">
        <v>3.2500000000000001E-2</v>
      </c>
      <c r="J11" s="46">
        <v>3.2500000000000001E-2</v>
      </c>
      <c r="K11" s="98">
        <v>3.2500000000000001E-2</v>
      </c>
      <c r="L11" s="38">
        <v>3.2500000000000001E-2</v>
      </c>
      <c r="M11" s="18">
        <v>3.2500000000000001E-2</v>
      </c>
      <c r="N11" s="18">
        <v>3.2500000000000001E-2</v>
      </c>
      <c r="O11" s="18">
        <v>3.2500000000000001E-2</v>
      </c>
      <c r="P11" s="18">
        <v>3.2500000000000001E-2</v>
      </c>
      <c r="Q11" s="18">
        <v>3.2500000000000001E-2</v>
      </c>
      <c r="R11" s="18">
        <v>3.2500000000000001E-2</v>
      </c>
      <c r="S11" s="18">
        <v>3.2500000000000001E-2</v>
      </c>
      <c r="T11" s="18">
        <v>3.2500000000000001E-2</v>
      </c>
      <c r="U11" s="18">
        <v>3.2500000000000001E-2</v>
      </c>
      <c r="V11" s="18">
        <v>3.2500000000000001E-2</v>
      </c>
      <c r="W11" s="18">
        <v>3.2500000000000001E-2</v>
      </c>
      <c r="X11" s="18">
        <v>3.2500000000000001E-2</v>
      </c>
      <c r="Y11" s="18">
        <v>3.2500000000000001E-2</v>
      </c>
      <c r="Z11" s="18">
        <v>3.2500000000000001E-2</v>
      </c>
      <c r="AA11" s="18">
        <v>3.2500000000000001E-2</v>
      </c>
      <c r="AB11" s="18">
        <v>3.2500000000000001E-2</v>
      </c>
      <c r="AC11" s="18">
        <v>3.2500000000000001E-2</v>
      </c>
    </row>
    <row r="12" spans="1:29" x14ac:dyDescent="0.25">
      <c r="K12" s="65"/>
      <c r="L12" s="21"/>
    </row>
    <row r="13" spans="1:29" x14ac:dyDescent="0.25">
      <c r="A13" s="7" t="s">
        <v>41</v>
      </c>
      <c r="I13" s="58"/>
      <c r="K13" s="96"/>
      <c r="L13" s="21"/>
    </row>
    <row r="14" spans="1:29" x14ac:dyDescent="0.25">
      <c r="A14" t="s">
        <v>2</v>
      </c>
      <c r="C14" s="3">
        <v>214</v>
      </c>
      <c r="D14" s="3">
        <v>267</v>
      </c>
      <c r="E14" s="3">
        <v>297</v>
      </c>
      <c r="F14" s="34">
        <v>348</v>
      </c>
      <c r="G14" s="34">
        <v>398</v>
      </c>
      <c r="H14" s="34">
        <v>447</v>
      </c>
      <c r="I14" s="3">
        <v>506</v>
      </c>
      <c r="J14" s="43">
        <v>562</v>
      </c>
      <c r="K14" s="68">
        <v>606</v>
      </c>
      <c r="L14" s="24">
        <v>676</v>
      </c>
      <c r="M14" s="4">
        <f t="shared" ref="M14:AC14" si="8">+(M5+L5)/2*M8/1000</f>
        <v>758.36880000000008</v>
      </c>
      <c r="N14" s="4">
        <f t="shared" si="8"/>
        <v>841.85136000000011</v>
      </c>
      <c r="O14" s="4">
        <f t="shared" si="8"/>
        <v>931.78625400000021</v>
      </c>
      <c r="P14" s="4">
        <f t="shared" si="8"/>
        <v>1028.6100090000002</v>
      </c>
      <c r="Q14" s="4">
        <f t="shared" si="8"/>
        <v>1132.7866738650005</v>
      </c>
      <c r="R14" s="4">
        <f t="shared" si="8"/>
        <v>1244.8094801940006</v>
      </c>
      <c r="S14" s="4">
        <f t="shared" si="8"/>
        <v>1365.2026004712382</v>
      </c>
      <c r="T14" s="4">
        <f t="shared" si="8"/>
        <v>1494.5230090757145</v>
      </c>
      <c r="U14" s="4">
        <f t="shared" si="8"/>
        <v>1633.3624520394603</v>
      </c>
      <c r="V14" s="4">
        <f t="shared" si="8"/>
        <v>1782.3495317768916</v>
      </c>
      <c r="W14" s="4">
        <f t="shared" si="8"/>
        <v>1942.1519133579673</v>
      </c>
      <c r="X14" s="4">
        <f t="shared" si="8"/>
        <v>2113.4786592677083</v>
      </c>
      <c r="Y14" s="4">
        <f t="shared" si="8"/>
        <v>2297.0826999850287</v>
      </c>
      <c r="Z14" s="4">
        <f t="shared" si="8"/>
        <v>2493.763448125912</v>
      </c>
      <c r="AA14" s="4">
        <f t="shared" si="8"/>
        <v>2664.4886488986003</v>
      </c>
      <c r="AB14" s="4">
        <f t="shared" si="8"/>
        <v>2801.3409781423334</v>
      </c>
      <c r="AC14" s="4">
        <f t="shared" si="8"/>
        <v>2898.9024292431977</v>
      </c>
    </row>
    <row r="15" spans="1:29" x14ac:dyDescent="0.25">
      <c r="A15" t="s">
        <v>5</v>
      </c>
      <c r="C15" s="3">
        <v>5</v>
      </c>
      <c r="D15" s="3">
        <v>5</v>
      </c>
      <c r="E15" s="3">
        <v>5</v>
      </c>
      <c r="F15" s="34">
        <v>5</v>
      </c>
      <c r="G15" s="34">
        <v>5</v>
      </c>
      <c r="H15" s="34">
        <v>5</v>
      </c>
      <c r="I15" s="3">
        <v>5</v>
      </c>
      <c r="J15" s="43">
        <v>6</v>
      </c>
      <c r="K15" s="68">
        <v>0</v>
      </c>
      <c r="L15" s="24">
        <f t="shared" ref="L15:AA16" si="9">+K15*(1+L$9)</f>
        <v>0</v>
      </c>
      <c r="M15" s="4">
        <f t="shared" si="9"/>
        <v>0</v>
      </c>
      <c r="N15" s="4">
        <f t="shared" si="9"/>
        <v>0</v>
      </c>
      <c r="O15" s="4">
        <f t="shared" si="9"/>
        <v>0</v>
      </c>
      <c r="P15" s="4">
        <f t="shared" si="9"/>
        <v>0</v>
      </c>
      <c r="Q15" s="4">
        <f t="shared" si="9"/>
        <v>0</v>
      </c>
      <c r="R15" s="4">
        <f t="shared" si="9"/>
        <v>0</v>
      </c>
      <c r="S15" s="4">
        <f t="shared" si="9"/>
        <v>0</v>
      </c>
      <c r="T15" s="4">
        <f t="shared" si="9"/>
        <v>0</v>
      </c>
      <c r="U15" s="4">
        <f t="shared" si="9"/>
        <v>0</v>
      </c>
      <c r="V15" s="4">
        <f t="shared" si="9"/>
        <v>0</v>
      </c>
      <c r="W15" s="4">
        <f t="shared" si="9"/>
        <v>0</v>
      </c>
      <c r="X15" s="4">
        <f t="shared" si="9"/>
        <v>0</v>
      </c>
      <c r="Y15" s="4">
        <f t="shared" si="9"/>
        <v>0</v>
      </c>
      <c r="Z15" s="4">
        <f t="shared" si="9"/>
        <v>0</v>
      </c>
      <c r="AA15" s="4">
        <f t="shared" si="9"/>
        <v>0</v>
      </c>
      <c r="AB15" s="4">
        <f t="shared" ref="AB15:AC16" si="10">+AA15*(1+AB$9)</f>
        <v>0</v>
      </c>
      <c r="AC15" s="4">
        <f t="shared" si="10"/>
        <v>0</v>
      </c>
    </row>
    <row r="16" spans="1:29" x14ac:dyDescent="0.25">
      <c r="A16" t="s">
        <v>39</v>
      </c>
      <c r="C16" s="3">
        <v>4</v>
      </c>
      <c r="D16" s="3">
        <v>3</v>
      </c>
      <c r="E16" s="3">
        <v>20</v>
      </c>
      <c r="F16" s="34">
        <v>5</v>
      </c>
      <c r="G16" s="34">
        <v>5</v>
      </c>
      <c r="H16" s="34">
        <v>5</v>
      </c>
      <c r="I16" s="3">
        <v>13</v>
      </c>
      <c r="J16" s="43">
        <v>23</v>
      </c>
      <c r="K16" s="68">
        <v>30</v>
      </c>
      <c r="L16" s="24">
        <v>30</v>
      </c>
      <c r="M16" s="4">
        <f t="shared" si="9"/>
        <v>30.749999999999996</v>
      </c>
      <c r="N16" s="4">
        <f t="shared" si="9"/>
        <v>31.518749999999994</v>
      </c>
      <c r="O16" s="4">
        <f t="shared" si="9"/>
        <v>32.306718749999987</v>
      </c>
      <c r="P16" s="4">
        <f t="shared" si="9"/>
        <v>33.114386718749984</v>
      </c>
      <c r="Q16" s="4">
        <f t="shared" si="9"/>
        <v>33.942246386718729</v>
      </c>
      <c r="R16" s="4">
        <f t="shared" si="9"/>
        <v>34.790802546386693</v>
      </c>
      <c r="S16" s="4">
        <f t="shared" si="9"/>
        <v>35.660572610046358</v>
      </c>
      <c r="T16" s="4">
        <f t="shared" si="9"/>
        <v>36.552086925297516</v>
      </c>
      <c r="U16" s="4">
        <f t="shared" si="9"/>
        <v>37.465889098429948</v>
      </c>
      <c r="V16" s="4">
        <f t="shared" si="9"/>
        <v>38.402536325890694</v>
      </c>
      <c r="W16" s="4">
        <f t="shared" si="9"/>
        <v>39.362599734037957</v>
      </c>
      <c r="X16" s="4">
        <f t="shared" si="9"/>
        <v>40.346664727388905</v>
      </c>
      <c r="Y16" s="4">
        <f t="shared" si="9"/>
        <v>41.355331345573624</v>
      </c>
      <c r="Z16" s="4">
        <f t="shared" si="9"/>
        <v>42.389214629212958</v>
      </c>
      <c r="AA16" s="4">
        <f t="shared" si="9"/>
        <v>43.448944994943275</v>
      </c>
      <c r="AB16" s="4">
        <f t="shared" si="10"/>
        <v>44.535168619816851</v>
      </c>
      <c r="AC16" s="4">
        <f t="shared" si="10"/>
        <v>45.648547835312272</v>
      </c>
    </row>
    <row r="17" spans="1:29" x14ac:dyDescent="0.25">
      <c r="A17" t="s">
        <v>6</v>
      </c>
      <c r="C17" s="34">
        <v>0</v>
      </c>
      <c r="D17" s="34">
        <v>0</v>
      </c>
      <c r="E17" s="34">
        <v>0</v>
      </c>
      <c r="F17" s="34">
        <v>0</v>
      </c>
      <c r="G17" s="34">
        <v>0</v>
      </c>
      <c r="H17" s="95">
        <v>0</v>
      </c>
      <c r="I17" s="3">
        <v>0</v>
      </c>
      <c r="J17" s="43">
        <v>0</v>
      </c>
      <c r="K17" s="68">
        <v>0</v>
      </c>
      <c r="L17" s="24">
        <v>0</v>
      </c>
      <c r="M17" s="4">
        <v>0</v>
      </c>
      <c r="N17" s="4">
        <v>0</v>
      </c>
      <c r="O17" s="4">
        <v>0</v>
      </c>
      <c r="P17" s="4">
        <v>0</v>
      </c>
      <c r="Q17" s="4">
        <v>0</v>
      </c>
      <c r="R17" s="4">
        <v>0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1</v>
      </c>
      <c r="Z17" s="4">
        <v>2</v>
      </c>
      <c r="AA17" s="4">
        <v>3</v>
      </c>
      <c r="AB17" s="4">
        <v>4</v>
      </c>
      <c r="AC17" s="4">
        <v>5</v>
      </c>
    </row>
    <row r="18" spans="1:29" x14ac:dyDescent="0.25">
      <c r="A18" t="s">
        <v>12</v>
      </c>
      <c r="C18" s="3">
        <f>940-77-359</f>
        <v>504</v>
      </c>
      <c r="D18" s="3">
        <v>580</v>
      </c>
      <c r="E18" s="3">
        <v>672</v>
      </c>
      <c r="F18" s="52">
        <v>696</v>
      </c>
      <c r="G18" s="52">
        <v>717</v>
      </c>
      <c r="H18" s="8">
        <v>669</v>
      </c>
      <c r="I18" s="10">
        <v>592</v>
      </c>
      <c r="J18" s="10">
        <v>573</v>
      </c>
      <c r="K18" s="72">
        <v>544</v>
      </c>
      <c r="L18" s="39">
        <f>692-9</f>
        <v>683</v>
      </c>
      <c r="M18" s="10">
        <f t="shared" ref="M18:AC18" si="11">+L18*(1+M9)+M10</f>
        <v>710.07499999999993</v>
      </c>
      <c r="N18" s="10">
        <f t="shared" si="11"/>
        <v>737.82687499999986</v>
      </c>
      <c r="O18" s="10">
        <f t="shared" si="11"/>
        <v>766.27254687499976</v>
      </c>
      <c r="P18" s="10">
        <f t="shared" si="11"/>
        <v>795.4293605468747</v>
      </c>
      <c r="Q18" s="10">
        <f t="shared" si="11"/>
        <v>825.31509456054653</v>
      </c>
      <c r="R18" s="10">
        <f t="shared" si="11"/>
        <v>845.94797192456008</v>
      </c>
      <c r="S18" s="10">
        <f t="shared" si="11"/>
        <v>867.09667122267399</v>
      </c>
      <c r="T18" s="10">
        <f t="shared" si="11"/>
        <v>888.77408800324076</v>
      </c>
      <c r="U18" s="10">
        <f t="shared" si="11"/>
        <v>910.99344020332171</v>
      </c>
      <c r="V18" s="10">
        <f t="shared" si="11"/>
        <v>933.7682762084047</v>
      </c>
      <c r="W18" s="10">
        <f t="shared" si="11"/>
        <v>957.11248311361476</v>
      </c>
      <c r="X18" s="10">
        <f t="shared" si="11"/>
        <v>981.04029519145502</v>
      </c>
      <c r="Y18" s="10">
        <f t="shared" si="11"/>
        <v>1005.5663025712413</v>
      </c>
      <c r="Z18" s="10">
        <f t="shared" si="11"/>
        <v>1030.7054601355223</v>
      </c>
      <c r="AA18" s="10">
        <f t="shared" si="11"/>
        <v>1056.4730966389104</v>
      </c>
      <c r="AB18" s="10">
        <f t="shared" si="11"/>
        <v>1082.8849240548832</v>
      </c>
      <c r="AC18" s="10">
        <f t="shared" si="11"/>
        <v>1109.9570471562552</v>
      </c>
    </row>
    <row r="19" spans="1:29" x14ac:dyDescent="0.25">
      <c r="A19" s="6" t="s">
        <v>43</v>
      </c>
      <c r="C19" s="13">
        <f>SUM(C14:C18)</f>
        <v>727</v>
      </c>
      <c r="D19" s="35">
        <f t="shared" ref="D19:AC19" si="12">SUM(D14:D18)</f>
        <v>855</v>
      </c>
      <c r="E19" s="35">
        <f t="shared" si="12"/>
        <v>994</v>
      </c>
      <c r="F19" s="35">
        <f t="shared" si="12"/>
        <v>1054</v>
      </c>
      <c r="G19" s="35">
        <f t="shared" si="12"/>
        <v>1125</v>
      </c>
      <c r="H19" s="35">
        <f t="shared" si="12"/>
        <v>1126</v>
      </c>
      <c r="I19" s="35">
        <f t="shared" si="12"/>
        <v>1116</v>
      </c>
      <c r="J19" s="35">
        <f t="shared" si="12"/>
        <v>1164</v>
      </c>
      <c r="K19" s="74">
        <f t="shared" si="12"/>
        <v>1180</v>
      </c>
      <c r="L19" s="29">
        <f t="shared" si="12"/>
        <v>1389</v>
      </c>
      <c r="M19" s="13">
        <f t="shared" si="12"/>
        <v>1499.1938</v>
      </c>
      <c r="N19" s="13">
        <f t="shared" si="12"/>
        <v>1611.196985</v>
      </c>
      <c r="O19" s="13">
        <f t="shared" si="12"/>
        <v>1730.3655196249999</v>
      </c>
      <c r="P19" s="13">
        <f t="shared" si="12"/>
        <v>1857.1537562656249</v>
      </c>
      <c r="Q19" s="13">
        <f t="shared" si="12"/>
        <v>1992.0440148122657</v>
      </c>
      <c r="R19" s="13">
        <f t="shared" si="12"/>
        <v>2125.5482546649473</v>
      </c>
      <c r="S19" s="13">
        <f t="shared" si="12"/>
        <v>2267.9598443039586</v>
      </c>
      <c r="T19" s="13">
        <f t="shared" si="12"/>
        <v>2419.8491840042529</v>
      </c>
      <c r="U19" s="13">
        <f t="shared" si="12"/>
        <v>2581.821781341212</v>
      </c>
      <c r="V19" s="13">
        <f t="shared" si="12"/>
        <v>2754.5203443111868</v>
      </c>
      <c r="W19" s="13">
        <f t="shared" si="12"/>
        <v>2938.6269962056199</v>
      </c>
      <c r="X19" s="13">
        <f t="shared" si="12"/>
        <v>3134.8656191865521</v>
      </c>
      <c r="Y19" s="13">
        <f t="shared" si="12"/>
        <v>3345.0043339018439</v>
      </c>
      <c r="Z19" s="13">
        <f t="shared" si="12"/>
        <v>3568.8581228906469</v>
      </c>
      <c r="AA19" s="13">
        <f t="shared" si="12"/>
        <v>3767.4106905324543</v>
      </c>
      <c r="AB19" s="13">
        <f t="shared" si="12"/>
        <v>3932.7610708170332</v>
      </c>
      <c r="AC19" s="13">
        <f t="shared" si="12"/>
        <v>4059.5080242347653</v>
      </c>
    </row>
    <row r="20" spans="1:29" x14ac:dyDescent="0.25">
      <c r="A20" s="56" t="s">
        <v>53</v>
      </c>
      <c r="D20" s="55">
        <f>+D19/C19-1</f>
        <v>0.17606602475928468</v>
      </c>
      <c r="E20" s="55">
        <f t="shared" ref="E20:AC20" si="13">+E19/D19-1</f>
        <v>0.16257309941520459</v>
      </c>
      <c r="F20" s="55">
        <f t="shared" si="13"/>
        <v>6.0362173038229328E-2</v>
      </c>
      <c r="G20" s="55">
        <f t="shared" si="13"/>
        <v>6.7362428842504762E-2</v>
      </c>
      <c r="H20" s="55">
        <f t="shared" si="13"/>
        <v>8.8888888888893902E-4</v>
      </c>
      <c r="I20" s="55">
        <f t="shared" si="13"/>
        <v>-8.8809946714032417E-3</v>
      </c>
      <c r="J20" s="55">
        <f t="shared" si="13"/>
        <v>4.3010752688172005E-2</v>
      </c>
      <c r="K20" s="75">
        <f t="shared" si="13"/>
        <v>1.3745704467353903E-2</v>
      </c>
      <c r="L20" s="57">
        <f t="shared" si="13"/>
        <v>0.17711864406779654</v>
      </c>
      <c r="M20" s="55">
        <f t="shared" si="13"/>
        <v>7.933318934485234E-2</v>
      </c>
      <c r="N20" s="55">
        <f t="shared" si="13"/>
        <v>7.4708943566869079E-2</v>
      </c>
      <c r="O20" s="55">
        <f t="shared" si="13"/>
        <v>7.3962734373537842E-2</v>
      </c>
      <c r="P20" s="55">
        <f t="shared" si="13"/>
        <v>7.3272516819511191E-2</v>
      </c>
      <c r="Q20" s="55">
        <f t="shared" si="13"/>
        <v>7.2632789876202253E-2</v>
      </c>
      <c r="R20" s="55">
        <f t="shared" si="13"/>
        <v>6.701871989774455E-2</v>
      </c>
      <c r="S20" s="55">
        <f t="shared" si="13"/>
        <v>6.6999932523978289E-2</v>
      </c>
      <c r="T20" s="55">
        <f t="shared" si="13"/>
        <v>6.6971794091402748E-2</v>
      </c>
      <c r="U20" s="55">
        <f t="shared" si="13"/>
        <v>6.6934996778986955E-2</v>
      </c>
      <c r="V20" s="55">
        <f t="shared" si="13"/>
        <v>6.6890195217216286E-2</v>
      </c>
      <c r="W20" s="55">
        <f t="shared" si="13"/>
        <v>6.6838007667891164E-2</v>
      </c>
      <c r="X20" s="55">
        <f t="shared" si="13"/>
        <v>6.6779017287432962E-2</v>
      </c>
      <c r="Y20" s="55">
        <f t="shared" si="13"/>
        <v>6.7032766390101139E-2</v>
      </c>
      <c r="Z20" s="55">
        <f t="shared" si="13"/>
        <v>6.6921823305288397E-2</v>
      </c>
      <c r="AA20" s="55">
        <f t="shared" si="13"/>
        <v>5.5634760700710384E-2</v>
      </c>
      <c r="AB20" s="55">
        <f t="shared" si="13"/>
        <v>4.388966159174168E-2</v>
      </c>
      <c r="AC20" s="55">
        <f t="shared" si="13"/>
        <v>3.2228490654633291E-2</v>
      </c>
    </row>
    <row r="21" spans="1:29" x14ac:dyDescent="0.25">
      <c r="A21" s="7" t="s">
        <v>44</v>
      </c>
      <c r="K21" s="65"/>
      <c r="L21" s="21"/>
    </row>
    <row r="22" spans="1:29" x14ac:dyDescent="0.25">
      <c r="A22" t="s">
        <v>40</v>
      </c>
      <c r="C22" s="8">
        <f>508-178+42</f>
        <v>372</v>
      </c>
      <c r="D22" s="8">
        <v>347</v>
      </c>
      <c r="E22" s="8">
        <f>563-229+46</f>
        <v>380</v>
      </c>
      <c r="F22" s="8">
        <f>589-252+43</f>
        <v>380</v>
      </c>
      <c r="G22" s="8">
        <f>45+565-207</f>
        <v>403</v>
      </c>
      <c r="H22" s="8">
        <f>598-221+48</f>
        <v>425</v>
      </c>
      <c r="I22" s="100">
        <f>440+51</f>
        <v>491</v>
      </c>
      <c r="J22" s="100">
        <f>405+49+4-19</f>
        <v>439</v>
      </c>
      <c r="K22" s="92">
        <f>341+38-2-22</f>
        <v>355</v>
      </c>
      <c r="L22" s="40">
        <f>344+4+62</f>
        <v>410</v>
      </c>
      <c r="M22" s="9">
        <f t="shared" ref="M22:AA23" si="14">+L22*(1+M$9)</f>
        <v>420.24999999999994</v>
      </c>
      <c r="N22" s="9">
        <f t="shared" si="14"/>
        <v>430.75624999999991</v>
      </c>
      <c r="O22" s="9">
        <f t="shared" si="14"/>
        <v>441.5251562499999</v>
      </c>
      <c r="P22" s="9">
        <f t="shared" si="14"/>
        <v>452.56328515624983</v>
      </c>
      <c r="Q22" s="9">
        <f t="shared" si="14"/>
        <v>463.87736728515603</v>
      </c>
      <c r="R22" s="9">
        <f t="shared" si="14"/>
        <v>475.47430146728487</v>
      </c>
      <c r="S22" s="9">
        <f t="shared" si="14"/>
        <v>487.36115900396697</v>
      </c>
      <c r="T22" s="9">
        <f t="shared" si="14"/>
        <v>499.5451879790661</v>
      </c>
      <c r="U22" s="9">
        <f t="shared" si="14"/>
        <v>512.03381767854273</v>
      </c>
      <c r="V22" s="9">
        <f t="shared" si="14"/>
        <v>524.83466312050621</v>
      </c>
      <c r="W22" s="9">
        <f t="shared" si="14"/>
        <v>537.95552969851883</v>
      </c>
      <c r="X22" s="9">
        <f t="shared" si="14"/>
        <v>551.40441794098172</v>
      </c>
      <c r="Y22" s="9">
        <f t="shared" si="14"/>
        <v>565.18952838950622</v>
      </c>
      <c r="Z22" s="9">
        <f t="shared" si="14"/>
        <v>579.31926659924386</v>
      </c>
      <c r="AA22" s="9">
        <f t="shared" si="14"/>
        <v>593.80224826422489</v>
      </c>
      <c r="AB22" s="9">
        <f t="shared" ref="AB22:AC23" si="15">+AA22*(1+AB$9)</f>
        <v>608.64730447083048</v>
      </c>
      <c r="AC22" s="9">
        <f t="shared" si="15"/>
        <v>623.86348708260118</v>
      </c>
    </row>
    <row r="23" spans="1:29" x14ac:dyDescent="0.25">
      <c r="A23" t="s">
        <v>8</v>
      </c>
      <c r="C23" s="8">
        <v>772</v>
      </c>
      <c r="D23" s="8">
        <v>733</v>
      </c>
      <c r="E23" s="8">
        <v>698</v>
      </c>
      <c r="F23" s="8">
        <v>729</v>
      </c>
      <c r="G23" s="8">
        <v>748</v>
      </c>
      <c r="H23" s="8">
        <v>731</v>
      </c>
      <c r="I23" s="100">
        <v>723</v>
      </c>
      <c r="J23" s="100">
        <f>737-31</f>
        <v>706</v>
      </c>
      <c r="K23" s="92">
        <f>776-33</f>
        <v>743</v>
      </c>
      <c r="L23" s="40">
        <v>725</v>
      </c>
      <c r="M23" s="9">
        <f t="shared" si="14"/>
        <v>743.12499999999989</v>
      </c>
      <c r="N23" s="9">
        <f t="shared" si="14"/>
        <v>761.70312499999977</v>
      </c>
      <c r="O23" s="9">
        <f t="shared" si="14"/>
        <v>780.74570312499975</v>
      </c>
      <c r="P23" s="9">
        <f t="shared" si="14"/>
        <v>800.26434570312472</v>
      </c>
      <c r="Q23" s="9">
        <f t="shared" si="14"/>
        <v>820.27095434570276</v>
      </c>
      <c r="R23" s="9">
        <f t="shared" si="14"/>
        <v>840.77772820434529</v>
      </c>
      <c r="S23" s="9">
        <f t="shared" si="14"/>
        <v>861.79717140945388</v>
      </c>
      <c r="T23" s="9">
        <f t="shared" si="14"/>
        <v>883.3421006946902</v>
      </c>
      <c r="U23" s="9">
        <f t="shared" si="14"/>
        <v>905.42565321205734</v>
      </c>
      <c r="V23" s="9">
        <f t="shared" si="14"/>
        <v>928.06129454235872</v>
      </c>
      <c r="W23" s="9">
        <f t="shared" si="14"/>
        <v>951.26282690591756</v>
      </c>
      <c r="X23" s="9">
        <f t="shared" si="14"/>
        <v>975.04439757856539</v>
      </c>
      <c r="Y23" s="9">
        <f t="shared" si="14"/>
        <v>999.42050751802947</v>
      </c>
      <c r="Z23" s="9">
        <f t="shared" si="14"/>
        <v>1024.4060202059802</v>
      </c>
      <c r="AA23" s="9">
        <f t="shared" si="14"/>
        <v>1050.0161707111297</v>
      </c>
      <c r="AB23" s="9">
        <f t="shared" si="15"/>
        <v>1076.2665749789078</v>
      </c>
      <c r="AC23" s="9">
        <f t="shared" si="15"/>
        <v>1103.1732393533805</v>
      </c>
    </row>
    <row r="24" spans="1:29" x14ac:dyDescent="0.25">
      <c r="A24" t="s">
        <v>30</v>
      </c>
      <c r="C24" s="8">
        <v>0</v>
      </c>
      <c r="D24" s="8">
        <v>0</v>
      </c>
      <c r="E24" s="8">
        <v>0</v>
      </c>
      <c r="F24" s="8">
        <v>0</v>
      </c>
      <c r="G24" s="8">
        <v>0</v>
      </c>
      <c r="H24" s="8">
        <v>0</v>
      </c>
      <c r="I24" s="100">
        <f t="shared" ref="I24:AC24" si="16">+H24*(1+I9)</f>
        <v>0</v>
      </c>
      <c r="J24" s="100">
        <f t="shared" si="16"/>
        <v>0</v>
      </c>
      <c r="K24" s="92">
        <f t="shared" si="16"/>
        <v>0</v>
      </c>
      <c r="L24" s="40">
        <f t="shared" si="16"/>
        <v>0</v>
      </c>
      <c r="M24" s="9">
        <f t="shared" si="16"/>
        <v>0</v>
      </c>
      <c r="N24" s="9">
        <f t="shared" si="16"/>
        <v>0</v>
      </c>
      <c r="O24" s="9">
        <f t="shared" si="16"/>
        <v>0</v>
      </c>
      <c r="P24" s="9">
        <f t="shared" si="16"/>
        <v>0</v>
      </c>
      <c r="Q24" s="9">
        <f t="shared" si="16"/>
        <v>0</v>
      </c>
      <c r="R24" s="9">
        <f t="shared" si="16"/>
        <v>0</v>
      </c>
      <c r="S24" s="9">
        <f t="shared" si="16"/>
        <v>0</v>
      </c>
      <c r="T24" s="9">
        <f t="shared" si="16"/>
        <v>0</v>
      </c>
      <c r="U24" s="9">
        <f t="shared" si="16"/>
        <v>0</v>
      </c>
      <c r="V24" s="9">
        <f t="shared" si="16"/>
        <v>0</v>
      </c>
      <c r="W24" s="9">
        <f t="shared" si="16"/>
        <v>0</v>
      </c>
      <c r="X24" s="9">
        <f t="shared" si="16"/>
        <v>0</v>
      </c>
      <c r="Y24" s="9">
        <f t="shared" si="16"/>
        <v>0</v>
      </c>
      <c r="Z24" s="9">
        <f t="shared" si="16"/>
        <v>0</v>
      </c>
      <c r="AA24" s="9">
        <f t="shared" si="16"/>
        <v>0</v>
      </c>
      <c r="AB24" s="9">
        <f t="shared" si="16"/>
        <v>0</v>
      </c>
      <c r="AC24" s="9">
        <f t="shared" si="16"/>
        <v>0</v>
      </c>
    </row>
    <row r="25" spans="1:29" x14ac:dyDescent="0.25">
      <c r="A25" t="s">
        <v>9</v>
      </c>
      <c r="C25" s="8">
        <f>116+42-47</f>
        <v>111</v>
      </c>
      <c r="D25" s="8">
        <v>81</v>
      </c>
      <c r="E25" s="8">
        <f>98+46-57</f>
        <v>87</v>
      </c>
      <c r="F25" s="8">
        <f>111-13</f>
        <v>98</v>
      </c>
      <c r="G25" s="8">
        <f>118-3</f>
        <v>115</v>
      </c>
      <c r="H25" s="8">
        <v>111</v>
      </c>
      <c r="I25" s="100">
        <v>105</v>
      </c>
      <c r="J25" s="100">
        <v>120</v>
      </c>
      <c r="K25" s="92">
        <v>152</v>
      </c>
      <c r="L25" s="40">
        <v>131</v>
      </c>
      <c r="M25" s="9">
        <f t="shared" ref="M25:AC25" si="17">+L25*(1+M$9)*1.03</f>
        <v>138.30324999999999</v>
      </c>
      <c r="N25" s="9">
        <f t="shared" si="17"/>
        <v>146.01365618749998</v>
      </c>
      <c r="O25" s="9">
        <f t="shared" si="17"/>
        <v>154.1539175199531</v>
      </c>
      <c r="P25" s="9">
        <f t="shared" si="17"/>
        <v>162.74799842169045</v>
      </c>
      <c r="Q25" s="9">
        <f t="shared" si="17"/>
        <v>171.82119933369967</v>
      </c>
      <c r="R25" s="9">
        <f t="shared" si="17"/>
        <v>181.40023119655342</v>
      </c>
      <c r="S25" s="9">
        <f t="shared" si="17"/>
        <v>191.51329408576129</v>
      </c>
      <c r="T25" s="9">
        <f t="shared" si="17"/>
        <v>202.19016023104248</v>
      </c>
      <c r="U25" s="9">
        <f t="shared" si="17"/>
        <v>213.46226166392307</v>
      </c>
      <c r="V25" s="9">
        <f t="shared" si="17"/>
        <v>225.36278275168678</v>
      </c>
      <c r="W25" s="9">
        <f t="shared" si="17"/>
        <v>237.92675789009328</v>
      </c>
      <c r="X25" s="9">
        <f t="shared" si="17"/>
        <v>251.19117464246597</v>
      </c>
      <c r="Y25" s="9">
        <f t="shared" si="17"/>
        <v>265.19508262878344</v>
      </c>
      <c r="Z25" s="9">
        <f t="shared" si="17"/>
        <v>279.97970848533805</v>
      </c>
      <c r="AA25" s="9">
        <f t="shared" si="17"/>
        <v>295.5885772333956</v>
      </c>
      <c r="AB25" s="9">
        <f t="shared" si="17"/>
        <v>312.06764041415738</v>
      </c>
      <c r="AC25" s="9">
        <f t="shared" si="17"/>
        <v>329.46541136724665</v>
      </c>
    </row>
    <row r="26" spans="1:29" x14ac:dyDescent="0.25">
      <c r="A26" t="s">
        <v>10</v>
      </c>
      <c r="C26" s="8">
        <v>22</v>
      </c>
      <c r="D26" s="8">
        <v>14</v>
      </c>
      <c r="E26" s="8">
        <v>31</v>
      </c>
      <c r="F26" s="8">
        <v>15</v>
      </c>
      <c r="G26" s="8">
        <v>18</v>
      </c>
      <c r="H26" s="8">
        <v>10</v>
      </c>
      <c r="I26" s="8">
        <v>30</v>
      </c>
      <c r="J26" s="8">
        <v>38</v>
      </c>
      <c r="K26" s="92">
        <v>31</v>
      </c>
      <c r="L26" s="40">
        <v>13</v>
      </c>
      <c r="M26" s="9">
        <f t="shared" ref="L26:AC29" si="18">+L26*(1+M$9)</f>
        <v>13.324999999999999</v>
      </c>
      <c r="N26" s="9">
        <f t="shared" si="18"/>
        <v>13.658124999999998</v>
      </c>
      <c r="O26" s="9">
        <f t="shared" si="18"/>
        <v>13.999578124999998</v>
      </c>
      <c r="P26" s="9">
        <f t="shared" si="18"/>
        <v>14.349567578124995</v>
      </c>
      <c r="Q26" s="9">
        <f t="shared" si="18"/>
        <v>14.708306767578119</v>
      </c>
      <c r="R26" s="9">
        <f t="shared" si="18"/>
        <v>15.07601443676757</v>
      </c>
      <c r="S26" s="9">
        <f t="shared" si="18"/>
        <v>15.452914797686759</v>
      </c>
      <c r="T26" s="9">
        <f t="shared" si="18"/>
        <v>15.839237667628927</v>
      </c>
      <c r="U26" s="9">
        <f t="shared" si="18"/>
        <v>16.235218609319649</v>
      </c>
      <c r="V26" s="9">
        <f t="shared" si="18"/>
        <v>16.641099074552638</v>
      </c>
      <c r="W26" s="9">
        <f t="shared" si="18"/>
        <v>17.057126551416452</v>
      </c>
      <c r="X26" s="9">
        <f t="shared" si="18"/>
        <v>17.483554715201862</v>
      </c>
      <c r="Y26" s="9">
        <f t="shared" si="18"/>
        <v>17.920643583081908</v>
      </c>
      <c r="Z26" s="9">
        <f t="shared" si="18"/>
        <v>18.368659672658953</v>
      </c>
      <c r="AA26" s="9">
        <f t="shared" si="18"/>
        <v>18.827876164475427</v>
      </c>
      <c r="AB26" s="9">
        <f t="shared" si="18"/>
        <v>19.298573068587309</v>
      </c>
      <c r="AC26" s="9">
        <f t="shared" si="18"/>
        <v>19.78103739530199</v>
      </c>
    </row>
    <row r="27" spans="1:29" x14ac:dyDescent="0.25">
      <c r="A27" t="s">
        <v>11</v>
      </c>
      <c r="C27" s="8">
        <f>15-9</f>
        <v>6</v>
      </c>
      <c r="D27" s="8">
        <v>4</v>
      </c>
      <c r="E27" s="8">
        <v>8</v>
      </c>
      <c r="F27" s="8">
        <v>8</v>
      </c>
      <c r="G27" s="8">
        <v>13</v>
      </c>
      <c r="H27" s="8">
        <v>11</v>
      </c>
      <c r="I27" s="100">
        <v>19</v>
      </c>
      <c r="J27" s="100">
        <v>13</v>
      </c>
      <c r="K27" s="92">
        <v>11</v>
      </c>
      <c r="L27" s="40">
        <v>40</v>
      </c>
      <c r="M27" s="9">
        <f t="shared" si="18"/>
        <v>41</v>
      </c>
      <c r="N27" s="9">
        <f t="shared" si="18"/>
        <v>42.024999999999999</v>
      </c>
      <c r="O27" s="9">
        <f t="shared" si="18"/>
        <v>43.075624999999995</v>
      </c>
      <c r="P27" s="9">
        <f t="shared" si="18"/>
        <v>44.152515624999992</v>
      </c>
      <c r="Q27" s="9">
        <f t="shared" si="18"/>
        <v>45.256328515624986</v>
      </c>
      <c r="R27" s="9">
        <f t="shared" si="18"/>
        <v>46.387736728515605</v>
      </c>
      <c r="S27" s="9">
        <f t="shared" si="18"/>
        <v>47.547430146728495</v>
      </c>
      <c r="T27" s="9">
        <f t="shared" si="18"/>
        <v>48.736115900396705</v>
      </c>
      <c r="U27" s="9">
        <f t="shared" si="18"/>
        <v>49.954518797906616</v>
      </c>
      <c r="V27" s="9">
        <f t="shared" si="18"/>
        <v>51.203381767854275</v>
      </c>
      <c r="W27" s="9">
        <f t="shared" si="18"/>
        <v>52.483466312050624</v>
      </c>
      <c r="X27" s="9">
        <f t="shared" si="18"/>
        <v>53.795552969851883</v>
      </c>
      <c r="Y27" s="9">
        <f t="shared" si="18"/>
        <v>55.140441794098173</v>
      </c>
      <c r="Z27" s="9">
        <f t="shared" si="18"/>
        <v>56.518952838950625</v>
      </c>
      <c r="AA27" s="9">
        <f t="shared" si="18"/>
        <v>57.931926659924386</v>
      </c>
      <c r="AB27" s="9">
        <f t="shared" si="18"/>
        <v>59.380224826422491</v>
      </c>
      <c r="AC27" s="9">
        <f t="shared" si="18"/>
        <v>60.864730447083048</v>
      </c>
    </row>
    <row r="28" spans="1:29" x14ac:dyDescent="0.25">
      <c r="A28" t="s">
        <v>13</v>
      </c>
      <c r="C28" s="8">
        <v>32</v>
      </c>
      <c r="D28" s="8">
        <v>29</v>
      </c>
      <c r="E28" s="8">
        <v>30</v>
      </c>
      <c r="F28" s="8">
        <v>30</v>
      </c>
      <c r="G28" s="8">
        <v>20</v>
      </c>
      <c r="H28" s="8">
        <v>22</v>
      </c>
      <c r="I28" s="100">
        <v>22</v>
      </c>
      <c r="J28" s="100">
        <v>19</v>
      </c>
      <c r="K28" s="92">
        <v>22</v>
      </c>
      <c r="L28" s="40">
        <f t="shared" si="18"/>
        <v>22.549999999999997</v>
      </c>
      <c r="M28" s="9">
        <f t="shared" si="18"/>
        <v>23.113749999999996</v>
      </c>
      <c r="N28" s="9">
        <f t="shared" si="18"/>
        <v>23.691593749999996</v>
      </c>
      <c r="O28" s="9">
        <f t="shared" si="18"/>
        <v>24.283883593749994</v>
      </c>
      <c r="P28" s="9">
        <f t="shared" si="18"/>
        <v>24.890980683593742</v>
      </c>
      <c r="Q28" s="9">
        <f t="shared" si="18"/>
        <v>25.513255200683584</v>
      </c>
      <c r="R28" s="9">
        <f t="shared" si="18"/>
        <v>26.151086580700671</v>
      </c>
      <c r="S28" s="9">
        <f t="shared" si="18"/>
        <v>26.804863745218185</v>
      </c>
      <c r="T28" s="9">
        <f t="shared" si="18"/>
        <v>27.474985338848636</v>
      </c>
      <c r="U28" s="9">
        <f t="shared" si="18"/>
        <v>28.161859972319849</v>
      </c>
      <c r="V28" s="9">
        <f t="shared" si="18"/>
        <v>28.865906471627842</v>
      </c>
      <c r="W28" s="9">
        <f t="shared" si="18"/>
        <v>29.587554133418536</v>
      </c>
      <c r="X28" s="9">
        <f t="shared" si="18"/>
        <v>30.327242986753998</v>
      </c>
      <c r="Y28" s="9">
        <f t="shared" si="18"/>
        <v>31.085424061422845</v>
      </c>
      <c r="Z28" s="9">
        <f t="shared" si="18"/>
        <v>31.862559662958414</v>
      </c>
      <c r="AA28" s="9">
        <f t="shared" si="18"/>
        <v>32.659123654532372</v>
      </c>
      <c r="AB28" s="9">
        <f t="shared" si="18"/>
        <v>33.47560174589568</v>
      </c>
      <c r="AC28" s="9">
        <f t="shared" si="18"/>
        <v>34.312491789543067</v>
      </c>
    </row>
    <row r="29" spans="1:29" x14ac:dyDescent="0.25">
      <c r="A29" t="s">
        <v>14</v>
      </c>
      <c r="C29" s="8">
        <v>42</v>
      </c>
      <c r="D29" s="8">
        <v>46</v>
      </c>
      <c r="E29" s="8">
        <v>45</v>
      </c>
      <c r="F29" s="8">
        <v>50</v>
      </c>
      <c r="G29" s="8">
        <v>42</v>
      </c>
      <c r="H29" s="8">
        <v>39</v>
      </c>
      <c r="I29" s="100">
        <v>31</v>
      </c>
      <c r="J29" s="100">
        <v>31</v>
      </c>
      <c r="K29" s="92">
        <v>33</v>
      </c>
      <c r="L29" s="40">
        <v>30</v>
      </c>
      <c r="M29" s="9">
        <f t="shared" si="18"/>
        <v>30.749999999999996</v>
      </c>
      <c r="N29" s="9">
        <f t="shared" si="18"/>
        <v>31.518749999999994</v>
      </c>
      <c r="O29" s="9">
        <f t="shared" si="18"/>
        <v>32.306718749999987</v>
      </c>
      <c r="P29" s="9">
        <f t="shared" si="18"/>
        <v>33.114386718749984</v>
      </c>
      <c r="Q29" s="9">
        <f t="shared" si="18"/>
        <v>33.942246386718729</v>
      </c>
      <c r="R29" s="9">
        <f t="shared" si="18"/>
        <v>34.790802546386693</v>
      </c>
      <c r="S29" s="9">
        <f t="shared" si="18"/>
        <v>35.660572610046358</v>
      </c>
      <c r="T29" s="9">
        <f t="shared" si="18"/>
        <v>36.552086925297516</v>
      </c>
      <c r="U29" s="9">
        <f t="shared" si="18"/>
        <v>37.465889098429948</v>
      </c>
      <c r="V29" s="9">
        <f t="shared" si="18"/>
        <v>38.402536325890694</v>
      </c>
      <c r="W29" s="9">
        <f t="shared" si="18"/>
        <v>39.362599734037957</v>
      </c>
      <c r="X29" s="9">
        <f t="shared" si="18"/>
        <v>40.346664727388905</v>
      </c>
      <c r="Y29" s="9">
        <f t="shared" si="18"/>
        <v>41.355331345573624</v>
      </c>
      <c r="Z29" s="9">
        <f t="shared" si="18"/>
        <v>42.389214629212958</v>
      </c>
      <c r="AA29" s="9">
        <f t="shared" si="18"/>
        <v>43.448944994943275</v>
      </c>
      <c r="AB29" s="9">
        <f t="shared" si="18"/>
        <v>44.535168619816851</v>
      </c>
      <c r="AC29" s="9">
        <f t="shared" si="18"/>
        <v>45.648547835312272</v>
      </c>
    </row>
    <row r="30" spans="1:29" s="6" customFormat="1" x14ac:dyDescent="0.25">
      <c r="A30" s="6" t="s">
        <v>45</v>
      </c>
      <c r="C30" s="12">
        <f t="shared" ref="C30:X30" si="19">SUM(C22:C29)</f>
        <v>1357</v>
      </c>
      <c r="D30" s="12">
        <f t="shared" si="19"/>
        <v>1254</v>
      </c>
      <c r="E30" s="12">
        <f t="shared" si="19"/>
        <v>1279</v>
      </c>
      <c r="F30" s="12">
        <f t="shared" si="19"/>
        <v>1310</v>
      </c>
      <c r="G30" s="12">
        <f t="shared" si="19"/>
        <v>1359</v>
      </c>
      <c r="H30" s="12">
        <f t="shared" si="19"/>
        <v>1349</v>
      </c>
      <c r="I30" s="12">
        <f t="shared" si="19"/>
        <v>1421</v>
      </c>
      <c r="J30" s="12">
        <f t="shared" si="19"/>
        <v>1366</v>
      </c>
      <c r="K30" s="77">
        <f t="shared" si="19"/>
        <v>1347</v>
      </c>
      <c r="L30" s="31">
        <f t="shared" si="19"/>
        <v>1371.55</v>
      </c>
      <c r="M30" s="12">
        <f t="shared" si="19"/>
        <v>1409.8669999999997</v>
      </c>
      <c r="N30" s="12">
        <f t="shared" si="19"/>
        <v>1449.3664999374996</v>
      </c>
      <c r="O30" s="12">
        <f t="shared" si="19"/>
        <v>1490.0905823637027</v>
      </c>
      <c r="P30" s="12">
        <f t="shared" si="19"/>
        <v>1532.0830798865338</v>
      </c>
      <c r="Q30" s="12">
        <f t="shared" si="19"/>
        <v>1575.3896578351639</v>
      </c>
      <c r="R30" s="12">
        <f t="shared" si="19"/>
        <v>1620.0579011605541</v>
      </c>
      <c r="S30" s="12">
        <f t="shared" si="19"/>
        <v>1666.1374057988619</v>
      </c>
      <c r="T30" s="12">
        <f t="shared" si="19"/>
        <v>1713.6798747369705</v>
      </c>
      <c r="U30" s="12">
        <f t="shared" si="19"/>
        <v>1762.7392190324992</v>
      </c>
      <c r="V30" s="12">
        <f t="shared" si="19"/>
        <v>1813.3716640544772</v>
      </c>
      <c r="W30" s="12">
        <f t="shared" si="19"/>
        <v>1865.6358612254535</v>
      </c>
      <c r="X30" s="12">
        <f t="shared" si="19"/>
        <v>1919.59300556121</v>
      </c>
      <c r="Y30" s="12">
        <f t="shared" ref="Y30:AC30" si="20">SUM(Y22:Y29)</f>
        <v>1975.3069593204959</v>
      </c>
      <c r="Z30" s="12">
        <f t="shared" si="20"/>
        <v>2032.844382094343</v>
      </c>
      <c r="AA30" s="12">
        <f t="shared" si="20"/>
        <v>2092.2748676826259</v>
      </c>
      <c r="AB30" s="12">
        <f t="shared" si="20"/>
        <v>2153.6710881246181</v>
      </c>
      <c r="AC30" s="12">
        <f t="shared" si="20"/>
        <v>2217.1089452704691</v>
      </c>
    </row>
    <row r="31" spans="1:29" x14ac:dyDescent="0.25">
      <c r="A31" s="56" t="s">
        <v>53</v>
      </c>
      <c r="D31" s="55">
        <f>+D30/C30-1</f>
        <v>-7.5902726602800286E-2</v>
      </c>
      <c r="E31" s="55">
        <f t="shared" ref="E31:AC31" si="21">+E30/D30-1</f>
        <v>1.9936204146730363E-2</v>
      </c>
      <c r="F31" s="55">
        <f t="shared" si="21"/>
        <v>2.4237685691946842E-2</v>
      </c>
      <c r="G31" s="55">
        <f t="shared" si="21"/>
        <v>3.7404580152671674E-2</v>
      </c>
      <c r="H31" s="55">
        <f t="shared" si="21"/>
        <v>-7.3583517292126199E-3</v>
      </c>
      <c r="I31" s="55">
        <f t="shared" si="21"/>
        <v>5.3372868791697448E-2</v>
      </c>
      <c r="J31" s="55">
        <f t="shared" si="21"/>
        <v>-3.8705137227304731E-2</v>
      </c>
      <c r="K31" s="75">
        <f t="shared" si="21"/>
        <v>-1.3909224011713017E-2</v>
      </c>
      <c r="L31" s="57">
        <f t="shared" si="21"/>
        <v>1.8225686711210054E-2</v>
      </c>
      <c r="M31" s="55">
        <f t="shared" si="21"/>
        <v>2.7937005577630902E-2</v>
      </c>
      <c r="N31" s="55">
        <f t="shared" si="21"/>
        <v>2.8016472431442008E-2</v>
      </c>
      <c r="O31" s="55">
        <f t="shared" si="21"/>
        <v>2.8097849941998154E-2</v>
      </c>
      <c r="P31" s="55">
        <f t="shared" si="21"/>
        <v>2.8181171010569939E-2</v>
      </c>
      <c r="Q31" s="55">
        <f t="shared" si="21"/>
        <v>2.8266468390106825E-2</v>
      </c>
      <c r="R31" s="55">
        <f t="shared" si="21"/>
        <v>2.835377463806088E-2</v>
      </c>
      <c r="S31" s="55">
        <f t="shared" si="21"/>
        <v>2.8443122066994064E-2</v>
      </c>
      <c r="T31" s="55">
        <f t="shared" si="21"/>
        <v>2.8534542692961962E-2</v>
      </c>
      <c r="U31" s="55">
        <f t="shared" si="21"/>
        <v>2.862806818167174E-2</v>
      </c>
      <c r="V31" s="55">
        <f t="shared" si="21"/>
        <v>2.8723729792412556E-2</v>
      </c>
      <c r="W31" s="55">
        <f t="shared" si="21"/>
        <v>2.8821558319776619E-2</v>
      </c>
      <c r="X31" s="55">
        <f t="shared" si="21"/>
        <v>2.8921584033185566E-2</v>
      </c>
      <c r="Y31" s="55">
        <f t="shared" si="21"/>
        <v>2.9023836614260556E-2</v>
      </c>
      <c r="Z31" s="55">
        <f t="shared" si="21"/>
        <v>2.9128345092066077E-2</v>
      </c>
      <c r="AA31" s="55">
        <f t="shared" si="21"/>
        <v>2.9235137776288944E-2</v>
      </c>
      <c r="AB31" s="55">
        <f t="shared" si="21"/>
        <v>2.9344242188405145E-2</v>
      </c>
      <c r="AC31" s="55">
        <f t="shared" si="21"/>
        <v>2.9455684990920217E-2</v>
      </c>
    </row>
    <row r="32" spans="1:29" x14ac:dyDescent="0.25">
      <c r="A32" s="42" t="s">
        <v>47</v>
      </c>
      <c r="C32" s="8">
        <v>21</v>
      </c>
      <c r="D32" s="8">
        <v>0</v>
      </c>
      <c r="E32" s="8">
        <v>0</v>
      </c>
      <c r="F32" s="2">
        <v>0</v>
      </c>
      <c r="G32">
        <v>0</v>
      </c>
      <c r="H32">
        <v>0</v>
      </c>
      <c r="I32">
        <v>0</v>
      </c>
      <c r="J32">
        <v>0</v>
      </c>
      <c r="K32" s="65">
        <v>0</v>
      </c>
      <c r="L32" s="21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1</v>
      </c>
      <c r="Z32">
        <v>2</v>
      </c>
      <c r="AA32">
        <v>3</v>
      </c>
      <c r="AB32">
        <v>4</v>
      </c>
      <c r="AC32">
        <v>5</v>
      </c>
    </row>
    <row r="33" spans="1:31" x14ac:dyDescent="0.25">
      <c r="A33" s="56"/>
      <c r="D33" s="55"/>
      <c r="E33" s="55"/>
      <c r="F33" s="55"/>
      <c r="G33" s="55"/>
      <c r="H33" s="55"/>
      <c r="I33" s="55"/>
      <c r="J33" s="55"/>
      <c r="K33" s="75"/>
      <c r="L33" s="57"/>
      <c r="M33" s="55"/>
      <c r="N33" s="55"/>
      <c r="O33" s="55"/>
      <c r="P33" s="55"/>
      <c r="Q33" s="55"/>
      <c r="R33" s="55"/>
      <c r="S33" s="55"/>
      <c r="T33" s="55"/>
      <c r="U33" s="55"/>
      <c r="V33" s="55"/>
      <c r="W33" s="55"/>
      <c r="X33" s="55"/>
      <c r="Y33" s="55"/>
      <c r="Z33" s="55"/>
      <c r="AA33" s="55"/>
      <c r="AB33" s="55"/>
      <c r="AC33" s="55"/>
    </row>
    <row r="34" spans="1:31" x14ac:dyDescent="0.25">
      <c r="A34" s="81" t="s">
        <v>59</v>
      </c>
      <c r="B34" s="82"/>
      <c r="C34" s="83">
        <f t="shared" ref="C34:AC34" si="22">+C19-C30+C32</f>
        <v>-609</v>
      </c>
      <c r="D34" s="83">
        <f t="shared" si="22"/>
        <v>-399</v>
      </c>
      <c r="E34" s="83">
        <f t="shared" si="22"/>
        <v>-285</v>
      </c>
      <c r="F34" s="83">
        <f t="shared" si="22"/>
        <v>-256</v>
      </c>
      <c r="G34" s="83">
        <f t="shared" si="22"/>
        <v>-234</v>
      </c>
      <c r="H34" s="83">
        <f t="shared" si="22"/>
        <v>-223</v>
      </c>
      <c r="I34" s="83">
        <f t="shared" si="22"/>
        <v>-305</v>
      </c>
      <c r="J34" s="83">
        <f t="shared" si="22"/>
        <v>-202</v>
      </c>
      <c r="K34" s="84">
        <f t="shared" si="22"/>
        <v>-167</v>
      </c>
      <c r="L34" s="85">
        <f t="shared" si="22"/>
        <v>17.450000000000045</v>
      </c>
      <c r="M34" s="83">
        <f t="shared" si="22"/>
        <v>89.326800000000276</v>
      </c>
      <c r="N34" s="83">
        <f t="shared" si="22"/>
        <v>161.83048506250043</v>
      </c>
      <c r="O34" s="83">
        <f t="shared" si="22"/>
        <v>240.27493726129728</v>
      </c>
      <c r="P34" s="83">
        <f t="shared" si="22"/>
        <v>325.07067637909108</v>
      </c>
      <c r="Q34" s="83">
        <f t="shared" si="22"/>
        <v>416.65435697710177</v>
      </c>
      <c r="R34" s="83">
        <f t="shared" si="22"/>
        <v>505.49035350439317</v>
      </c>
      <c r="S34" s="83">
        <f t="shared" si="22"/>
        <v>601.82243850509667</v>
      </c>
      <c r="T34" s="83">
        <f t="shared" si="22"/>
        <v>706.16930926728242</v>
      </c>
      <c r="U34" s="83">
        <f t="shared" si="22"/>
        <v>819.0825623087128</v>
      </c>
      <c r="V34" s="83">
        <f t="shared" si="22"/>
        <v>941.14868025670967</v>
      </c>
      <c r="W34" s="83">
        <f t="shared" si="22"/>
        <v>1072.9911349801664</v>
      </c>
      <c r="X34" s="83">
        <f t="shared" si="22"/>
        <v>1215.272613625342</v>
      </c>
      <c r="Y34" s="83">
        <f t="shared" si="22"/>
        <v>1370.697374581348</v>
      </c>
      <c r="Z34" s="83">
        <f t="shared" si="22"/>
        <v>1538.0137407963039</v>
      </c>
      <c r="AA34" s="83">
        <f t="shared" si="22"/>
        <v>1678.1358228498284</v>
      </c>
      <c r="AB34" s="83">
        <f t="shared" si="22"/>
        <v>1783.0899826924151</v>
      </c>
      <c r="AC34" s="83">
        <f t="shared" si="22"/>
        <v>1847.3990789642962</v>
      </c>
    </row>
    <row r="35" spans="1:31" x14ac:dyDescent="0.25">
      <c r="A35" s="56"/>
      <c r="D35" s="55"/>
      <c r="E35" s="55"/>
      <c r="F35" s="55"/>
      <c r="G35" s="55"/>
      <c r="H35" s="55"/>
      <c r="I35" s="55"/>
      <c r="J35" s="55"/>
      <c r="K35" s="75"/>
      <c r="L35" s="57"/>
      <c r="M35" s="55"/>
      <c r="N35" s="55"/>
      <c r="O35" s="55"/>
      <c r="P35" s="55"/>
      <c r="Q35" s="55"/>
      <c r="R35" s="55"/>
      <c r="S35" s="55"/>
      <c r="T35" s="55"/>
      <c r="U35" s="55"/>
      <c r="V35" s="55"/>
      <c r="W35" s="55"/>
      <c r="X35" s="55"/>
      <c r="Y35" s="55"/>
      <c r="Z35" s="55"/>
      <c r="AA35" s="55"/>
      <c r="AB35" s="55"/>
      <c r="AC35" s="55"/>
    </row>
    <row r="36" spans="1:31" x14ac:dyDescent="0.25">
      <c r="A36" t="s">
        <v>23</v>
      </c>
      <c r="C36" s="8">
        <v>-5</v>
      </c>
      <c r="D36" s="8">
        <v>-3</v>
      </c>
      <c r="E36" s="8">
        <v>-35</v>
      </c>
      <c r="F36" s="8">
        <v>-5</v>
      </c>
      <c r="G36" s="63">
        <v>-4</v>
      </c>
      <c r="H36" s="63">
        <v>-16</v>
      </c>
      <c r="I36" s="63">
        <v>-17</v>
      </c>
      <c r="J36" s="116">
        <v>-3</v>
      </c>
      <c r="K36" s="76">
        <v>0</v>
      </c>
      <c r="L36" s="41">
        <v>0</v>
      </c>
      <c r="M36" s="15">
        <v>-15</v>
      </c>
      <c r="N36" s="15">
        <v>-15</v>
      </c>
      <c r="O36" s="15">
        <v>-15</v>
      </c>
      <c r="P36" s="15">
        <v>-15</v>
      </c>
      <c r="Q36" s="15">
        <v>-15</v>
      </c>
      <c r="R36" s="15">
        <v>-15</v>
      </c>
      <c r="S36" s="15">
        <v>-15</v>
      </c>
      <c r="T36" s="15">
        <v>-15</v>
      </c>
      <c r="U36" s="15">
        <v>-15</v>
      </c>
      <c r="V36" s="15">
        <v>-15</v>
      </c>
      <c r="W36" s="15">
        <v>-15</v>
      </c>
      <c r="X36" s="15">
        <v>-15</v>
      </c>
      <c r="Y36" s="15">
        <v>-15</v>
      </c>
      <c r="Z36" s="15">
        <v>-15</v>
      </c>
      <c r="AA36" s="15">
        <v>-15</v>
      </c>
      <c r="AB36" s="15">
        <v>-15</v>
      </c>
      <c r="AC36" s="15">
        <v>-15</v>
      </c>
    </row>
    <row r="37" spans="1:31" x14ac:dyDescent="0.25">
      <c r="A37" t="s">
        <v>42</v>
      </c>
      <c r="C37" s="8">
        <f>10+15+2+13-11</f>
        <v>29</v>
      </c>
      <c r="D37" s="10">
        <v>26</v>
      </c>
      <c r="E37" s="10">
        <v>26</v>
      </c>
      <c r="F37" s="112">
        <v>47</v>
      </c>
      <c r="G37" s="112">
        <v>36</v>
      </c>
      <c r="H37" s="113">
        <v>-44</v>
      </c>
      <c r="I37" s="54">
        <v>-59</v>
      </c>
      <c r="J37" s="102">
        <v>8</v>
      </c>
      <c r="K37" s="68">
        <v>-56</v>
      </c>
      <c r="L37" s="21">
        <v>-17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0</v>
      </c>
      <c r="AA37">
        <v>0</v>
      </c>
      <c r="AB37">
        <v>0</v>
      </c>
      <c r="AC37">
        <v>0</v>
      </c>
    </row>
    <row r="38" spans="1:31" x14ac:dyDescent="0.25">
      <c r="C38" s="8"/>
      <c r="D38" s="10"/>
      <c r="E38" s="10"/>
      <c r="F38" s="10"/>
      <c r="G38" s="10"/>
      <c r="H38" s="11"/>
      <c r="K38" s="65"/>
      <c r="L38" s="21"/>
    </row>
    <row r="39" spans="1:31" x14ac:dyDescent="0.25">
      <c r="A39" s="81" t="s">
        <v>60</v>
      </c>
      <c r="B39" s="82"/>
      <c r="C39" s="83">
        <f>+C34+C36+C37</f>
        <v>-585</v>
      </c>
      <c r="D39" s="83">
        <f t="shared" ref="D39:AC39" si="23">+D34+D36+D37</f>
        <v>-376</v>
      </c>
      <c r="E39" s="83">
        <f t="shared" si="23"/>
        <v>-294</v>
      </c>
      <c r="F39" s="83">
        <f t="shared" si="23"/>
        <v>-214</v>
      </c>
      <c r="G39" s="83">
        <f t="shared" si="23"/>
        <v>-202</v>
      </c>
      <c r="H39" s="83">
        <f t="shared" si="23"/>
        <v>-283</v>
      </c>
      <c r="I39" s="83">
        <f t="shared" si="23"/>
        <v>-381</v>
      </c>
      <c r="J39" s="83">
        <f t="shared" si="23"/>
        <v>-197</v>
      </c>
      <c r="K39" s="84">
        <f t="shared" si="23"/>
        <v>-223</v>
      </c>
      <c r="L39" s="85">
        <f t="shared" si="23"/>
        <v>0.45000000000004547</v>
      </c>
      <c r="M39" s="83">
        <f t="shared" si="23"/>
        <v>74.326800000000276</v>
      </c>
      <c r="N39" s="83">
        <f t="shared" si="23"/>
        <v>146.83048506250043</v>
      </c>
      <c r="O39" s="83">
        <f t="shared" si="23"/>
        <v>225.27493726129728</v>
      </c>
      <c r="P39" s="83">
        <f t="shared" si="23"/>
        <v>310.07067637909108</v>
      </c>
      <c r="Q39" s="83">
        <f t="shared" si="23"/>
        <v>401.65435697710177</v>
      </c>
      <c r="R39" s="83">
        <f t="shared" si="23"/>
        <v>490.49035350439317</v>
      </c>
      <c r="S39" s="83">
        <f t="shared" si="23"/>
        <v>586.82243850509667</v>
      </c>
      <c r="T39" s="83">
        <f t="shared" si="23"/>
        <v>691.16930926728242</v>
      </c>
      <c r="U39" s="83">
        <f t="shared" si="23"/>
        <v>804.0825623087128</v>
      </c>
      <c r="V39" s="83">
        <f t="shared" si="23"/>
        <v>926.14868025670967</v>
      </c>
      <c r="W39" s="83">
        <f t="shared" si="23"/>
        <v>1057.9911349801664</v>
      </c>
      <c r="X39" s="83">
        <f t="shared" si="23"/>
        <v>1200.272613625342</v>
      </c>
      <c r="Y39" s="83">
        <f t="shared" si="23"/>
        <v>1355.697374581348</v>
      </c>
      <c r="Z39" s="83">
        <f t="shared" si="23"/>
        <v>1523.0137407963039</v>
      </c>
      <c r="AA39" s="83">
        <f t="shared" si="23"/>
        <v>1663.1358228498284</v>
      </c>
      <c r="AB39" s="83">
        <f t="shared" si="23"/>
        <v>1768.0899826924151</v>
      </c>
      <c r="AC39" s="83">
        <f t="shared" si="23"/>
        <v>1832.3990789642962</v>
      </c>
    </row>
    <row r="40" spans="1:31" x14ac:dyDescent="0.25">
      <c r="A40" s="56"/>
      <c r="D40" s="55"/>
      <c r="E40" s="55"/>
      <c r="F40" s="55"/>
      <c r="G40" s="55"/>
      <c r="H40" s="55"/>
      <c r="I40" s="55"/>
      <c r="J40" s="55"/>
      <c r="K40" s="75"/>
      <c r="L40" s="57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/>
      <c r="AB40" s="55"/>
      <c r="AC40" s="55"/>
    </row>
    <row r="41" spans="1:31" x14ac:dyDescent="0.25">
      <c r="A41" t="s">
        <v>72</v>
      </c>
      <c r="C41" s="86">
        <v>178</v>
      </c>
      <c r="D41" s="86">
        <v>207</v>
      </c>
      <c r="E41" s="86">
        <v>229</v>
      </c>
      <c r="F41" s="86">
        <v>252</v>
      </c>
      <c r="G41" s="86">
        <v>207</v>
      </c>
      <c r="H41" s="86">
        <v>221</v>
      </c>
      <c r="I41" s="86">
        <v>238</v>
      </c>
      <c r="J41" s="117">
        <v>257</v>
      </c>
      <c r="K41" s="93">
        <v>271</v>
      </c>
      <c r="L41" s="88">
        <v>280</v>
      </c>
      <c r="M41" s="89">
        <f t="shared" ref="M41:AC41" si="24">MAX((L44+(M30-M19)/2)*M11,0)</f>
        <v>293.30881449999998</v>
      </c>
      <c r="N41" s="89">
        <f t="shared" si="24"/>
        <v>299.24754508898434</v>
      </c>
      <c r="O41" s="89">
        <f t="shared" si="24"/>
        <v>302.92637719161462</v>
      </c>
      <c r="P41" s="89">
        <f t="shared" si="24"/>
        <v>304.07211822868578</v>
      </c>
      <c r="Q41" s="89">
        <f t="shared" si="24"/>
        <v>302.38893027907994</v>
      </c>
      <c r="R41" s="89">
        <f t="shared" si="24"/>
        <v>297.71921896782573</v>
      </c>
      <c r="S41" s="89">
        <f t="shared" si="24"/>
        <v>289.88876071412585</v>
      </c>
      <c r="T41" s="89">
        <f t="shared" si="24"/>
        <v>278.54277953603378</v>
      </c>
      <c r="U41" s="89">
        <f t="shared" si="24"/>
        <v>263.29757695784491</v>
      </c>
      <c r="V41" s="89">
        <f t="shared" si="24"/>
        <v>243.73849051728675</v>
      </c>
      <c r="W41" s="89">
        <f t="shared" si="24"/>
        <v>219.41771946149936</v>
      </c>
      <c r="X41" s="89">
        <f t="shared" si="24"/>
        <v>189.85200942915856</v>
      </c>
      <c r="Y41" s="89">
        <f t="shared" si="24"/>
        <v>154.50393742724751</v>
      </c>
      <c r="Z41" s="89">
        <f t="shared" si="24"/>
        <v>112.76250976874621</v>
      </c>
      <c r="AA41" s="89">
        <f t="shared" si="24"/>
        <v>64.668610926980804</v>
      </c>
      <c r="AB41" s="89">
        <f t="shared" si="24"/>
        <v>11.029171442046222</v>
      </c>
      <c r="AC41" s="89">
        <f t="shared" si="24"/>
        <v>0</v>
      </c>
    </row>
    <row r="42" spans="1:31" s="6" customFormat="1" x14ac:dyDescent="0.25">
      <c r="A42" s="6" t="s">
        <v>61</v>
      </c>
      <c r="C42" s="12">
        <f>+C39-C41</f>
        <v>-763</v>
      </c>
      <c r="D42" s="12">
        <f t="shared" ref="D42:AC42" si="25">+D39-D41</f>
        <v>-583</v>
      </c>
      <c r="E42" s="12">
        <f t="shared" si="25"/>
        <v>-523</v>
      </c>
      <c r="F42" s="12">
        <f t="shared" si="25"/>
        <v>-466</v>
      </c>
      <c r="G42" s="12">
        <f t="shared" si="25"/>
        <v>-409</v>
      </c>
      <c r="H42" s="12">
        <f t="shared" si="25"/>
        <v>-504</v>
      </c>
      <c r="I42" s="12">
        <f t="shared" si="25"/>
        <v>-619</v>
      </c>
      <c r="J42" s="12">
        <f t="shared" si="25"/>
        <v>-454</v>
      </c>
      <c r="K42" s="77">
        <f t="shared" si="25"/>
        <v>-494</v>
      </c>
      <c r="L42" s="31">
        <f t="shared" si="25"/>
        <v>-279.54999999999995</v>
      </c>
      <c r="M42" s="12">
        <f t="shared" si="25"/>
        <v>-218.98201449999971</v>
      </c>
      <c r="N42" s="12">
        <f t="shared" si="25"/>
        <v>-152.41706002648391</v>
      </c>
      <c r="O42" s="12">
        <f t="shared" si="25"/>
        <v>-77.651439930317338</v>
      </c>
      <c r="P42" s="12">
        <f t="shared" si="25"/>
        <v>5.9985581504053016</v>
      </c>
      <c r="Q42" s="12">
        <f t="shared" si="25"/>
        <v>99.265426698021827</v>
      </c>
      <c r="R42" s="12">
        <f t="shared" si="25"/>
        <v>192.77113453656744</v>
      </c>
      <c r="S42" s="12">
        <f t="shared" si="25"/>
        <v>296.93367779097082</v>
      </c>
      <c r="T42" s="12">
        <f t="shared" si="25"/>
        <v>412.62652973124864</v>
      </c>
      <c r="U42" s="12">
        <f t="shared" si="25"/>
        <v>540.78498535086783</v>
      </c>
      <c r="V42" s="12">
        <f t="shared" si="25"/>
        <v>682.41018973942289</v>
      </c>
      <c r="W42" s="12">
        <f t="shared" si="25"/>
        <v>838.57341551866705</v>
      </c>
      <c r="X42" s="12">
        <f t="shared" si="25"/>
        <v>1010.4206041961835</v>
      </c>
      <c r="Y42" s="12">
        <f t="shared" si="25"/>
        <v>1201.1934371541004</v>
      </c>
      <c r="Z42" s="12">
        <f t="shared" si="25"/>
        <v>1410.2512310275577</v>
      </c>
      <c r="AA42" s="12">
        <f t="shared" si="25"/>
        <v>1598.4672119228476</v>
      </c>
      <c r="AB42" s="12">
        <f t="shared" si="25"/>
        <v>1757.0608112503689</v>
      </c>
      <c r="AC42" s="12">
        <f t="shared" si="25"/>
        <v>1832.3990789642962</v>
      </c>
    </row>
    <row r="43" spans="1:31" x14ac:dyDescent="0.25">
      <c r="D43" s="11"/>
      <c r="E43" s="11"/>
      <c r="F43" s="11"/>
      <c r="G43" s="11"/>
      <c r="H43" s="11"/>
      <c r="I43" s="11"/>
      <c r="J43" s="11"/>
      <c r="K43" s="78"/>
      <c r="L43" s="21"/>
    </row>
    <row r="44" spans="1:31" x14ac:dyDescent="0.25">
      <c r="A44" s="21" t="s">
        <v>26</v>
      </c>
      <c r="B44" s="21"/>
      <c r="C44" s="22">
        <v>4735</v>
      </c>
      <c r="D44" s="22">
        <v>5318</v>
      </c>
      <c r="E44" s="22">
        <f>5606+229</f>
        <v>5835</v>
      </c>
      <c r="F44" s="22">
        <v>6332</v>
      </c>
      <c r="G44" s="22">
        <v>6730</v>
      </c>
      <c r="H44" s="23">
        <v>7254</v>
      </c>
      <c r="I44" s="23">
        <f>7254+350+238</f>
        <v>7842</v>
      </c>
      <c r="J44" s="23">
        <v>8294</v>
      </c>
      <c r="K44" s="78">
        <v>8790</v>
      </c>
      <c r="L44" s="23">
        <f t="shared" ref="L44:AC44" si="26">MAX(0,+K44-L42)</f>
        <v>9069.5499999999993</v>
      </c>
      <c r="M44" s="23">
        <f t="shared" si="26"/>
        <v>9288.5320144999987</v>
      </c>
      <c r="N44" s="23">
        <f t="shared" si="26"/>
        <v>9440.9490745264829</v>
      </c>
      <c r="O44" s="23">
        <f t="shared" si="26"/>
        <v>9518.6005144568007</v>
      </c>
      <c r="P44" s="23">
        <f t="shared" si="26"/>
        <v>9512.6019563063946</v>
      </c>
      <c r="Q44" s="23">
        <f t="shared" si="26"/>
        <v>9413.3365296083721</v>
      </c>
      <c r="R44" s="23">
        <f t="shared" si="26"/>
        <v>9220.5653950718042</v>
      </c>
      <c r="S44" s="23">
        <f t="shared" si="26"/>
        <v>8923.631717280834</v>
      </c>
      <c r="T44" s="23">
        <f t="shared" si="26"/>
        <v>8511.0051875495847</v>
      </c>
      <c r="U44" s="23">
        <f t="shared" si="26"/>
        <v>7970.2202021987168</v>
      </c>
      <c r="V44" s="23">
        <f t="shared" si="26"/>
        <v>7287.8100124592938</v>
      </c>
      <c r="W44" s="23">
        <f t="shared" si="26"/>
        <v>6449.2365969406264</v>
      </c>
      <c r="X44" s="23">
        <f t="shared" si="26"/>
        <v>5438.8159927444431</v>
      </c>
      <c r="Y44" s="23">
        <f t="shared" si="26"/>
        <v>4237.6225555903429</v>
      </c>
      <c r="Z44" s="23">
        <f t="shared" si="26"/>
        <v>2827.371324562785</v>
      </c>
      <c r="AA44" s="23">
        <f t="shared" si="26"/>
        <v>1228.9041126399375</v>
      </c>
      <c r="AB44" s="23">
        <f t="shared" si="26"/>
        <v>0</v>
      </c>
      <c r="AC44" s="23">
        <f t="shared" si="26"/>
        <v>0</v>
      </c>
    </row>
    <row r="45" spans="1:31" x14ac:dyDescent="0.25">
      <c r="A45" s="21" t="s">
        <v>27</v>
      </c>
      <c r="B45" s="21"/>
      <c r="C45" s="22">
        <v>4731</v>
      </c>
      <c r="D45" s="22">
        <v>4752</v>
      </c>
      <c r="E45" s="22">
        <v>4776</v>
      </c>
      <c r="F45" s="22">
        <v>5144</v>
      </c>
      <c r="G45" s="22">
        <v>5444</v>
      </c>
      <c r="H45" s="24">
        <v>6424</v>
      </c>
      <c r="I45" s="24">
        <v>6773</v>
      </c>
      <c r="J45" s="24">
        <v>7482</v>
      </c>
      <c r="K45" s="68">
        <v>7500</v>
      </c>
      <c r="L45" s="24">
        <f t="shared" ref="L45:AC45" si="27">IF(L44&gt;0,K45+L47,MAX(0,K45+L47-(L42-(K44-L44))))</f>
        <v>7500</v>
      </c>
      <c r="M45" s="24">
        <f t="shared" si="27"/>
        <v>7500</v>
      </c>
      <c r="N45" s="24">
        <f t="shared" si="27"/>
        <v>7500</v>
      </c>
      <c r="O45" s="24">
        <f t="shared" si="27"/>
        <v>7500</v>
      </c>
      <c r="P45" s="24">
        <f t="shared" si="27"/>
        <v>7500</v>
      </c>
      <c r="Q45" s="24">
        <f t="shared" si="27"/>
        <v>7500</v>
      </c>
      <c r="R45" s="24">
        <f t="shared" si="27"/>
        <v>7500</v>
      </c>
      <c r="S45" s="24">
        <f t="shared" si="27"/>
        <v>7500</v>
      </c>
      <c r="T45" s="24">
        <f t="shared" si="27"/>
        <v>7500</v>
      </c>
      <c r="U45" s="24">
        <f t="shared" si="27"/>
        <v>7500</v>
      </c>
      <c r="V45" s="24">
        <f t="shared" si="27"/>
        <v>7500</v>
      </c>
      <c r="W45" s="24">
        <f t="shared" si="27"/>
        <v>7500</v>
      </c>
      <c r="X45" s="24">
        <f t="shared" si="27"/>
        <v>7500</v>
      </c>
      <c r="Y45" s="24">
        <f t="shared" si="27"/>
        <v>7500</v>
      </c>
      <c r="Z45" s="24">
        <f t="shared" si="27"/>
        <v>7500</v>
      </c>
      <c r="AA45" s="24">
        <f t="shared" si="27"/>
        <v>7500</v>
      </c>
      <c r="AB45" s="24">
        <f t="shared" si="27"/>
        <v>6971.8433013895683</v>
      </c>
      <c r="AC45" s="24">
        <f t="shared" si="27"/>
        <v>5139.4442224252725</v>
      </c>
      <c r="AE45" s="59"/>
    </row>
    <row r="46" spans="1:31" x14ac:dyDescent="0.25">
      <c r="A46" t="s">
        <v>71</v>
      </c>
      <c r="C46" s="54"/>
      <c r="D46" s="101">
        <f>+D44-C44</f>
        <v>583</v>
      </c>
      <c r="E46" s="102">
        <f t="shared" ref="E46:AC46" si="28">+E44-D44</f>
        <v>517</v>
      </c>
      <c r="F46" s="102">
        <f t="shared" si="28"/>
        <v>497</v>
      </c>
      <c r="G46" s="102">
        <f t="shared" si="28"/>
        <v>398</v>
      </c>
      <c r="H46" s="43">
        <f t="shared" si="28"/>
        <v>524</v>
      </c>
      <c r="I46" s="43">
        <f t="shared" si="28"/>
        <v>588</v>
      </c>
      <c r="J46" s="43">
        <f t="shared" si="28"/>
        <v>452</v>
      </c>
      <c r="K46" s="68">
        <f t="shared" si="28"/>
        <v>496</v>
      </c>
      <c r="L46" s="24">
        <f t="shared" si="28"/>
        <v>279.54999999999927</v>
      </c>
      <c r="M46" s="4">
        <f t="shared" si="28"/>
        <v>218.98201449999942</v>
      </c>
      <c r="N46" s="4">
        <f t="shared" si="28"/>
        <v>152.41706002648425</v>
      </c>
      <c r="O46" s="4">
        <f t="shared" si="28"/>
        <v>77.651439930317792</v>
      </c>
      <c r="P46" s="4">
        <f t="shared" si="28"/>
        <v>-5.9985581504060974</v>
      </c>
      <c r="Q46" s="4">
        <f t="shared" si="28"/>
        <v>-99.265426698022566</v>
      </c>
      <c r="R46" s="4">
        <f t="shared" si="28"/>
        <v>-192.77113453656784</v>
      </c>
      <c r="S46" s="4">
        <f t="shared" si="28"/>
        <v>-296.93367779097025</v>
      </c>
      <c r="T46" s="4">
        <f t="shared" si="28"/>
        <v>-412.62652973124932</v>
      </c>
      <c r="U46" s="4">
        <f t="shared" si="28"/>
        <v>-540.78498535086783</v>
      </c>
      <c r="V46" s="4">
        <f t="shared" si="28"/>
        <v>-682.410189739423</v>
      </c>
      <c r="W46" s="4">
        <f t="shared" si="28"/>
        <v>-838.57341551866739</v>
      </c>
      <c r="X46" s="4">
        <f t="shared" si="28"/>
        <v>-1010.4206041961834</v>
      </c>
      <c r="Y46" s="4">
        <f t="shared" si="28"/>
        <v>-1201.1934371541001</v>
      </c>
      <c r="Z46" s="4">
        <f t="shared" si="28"/>
        <v>-1410.2512310275579</v>
      </c>
      <c r="AA46" s="4">
        <f t="shared" si="28"/>
        <v>-1598.4672119228476</v>
      </c>
      <c r="AB46" s="4">
        <f t="shared" si="28"/>
        <v>-1228.9041126399375</v>
      </c>
      <c r="AC46" s="4">
        <f t="shared" si="28"/>
        <v>0</v>
      </c>
    </row>
    <row r="47" spans="1:31" x14ac:dyDescent="0.25">
      <c r="A47" t="s">
        <v>31</v>
      </c>
      <c r="C47" s="54"/>
      <c r="D47" s="54">
        <f>+D45-C45</f>
        <v>21</v>
      </c>
      <c r="E47" s="54">
        <f>+E45-D45</f>
        <v>24</v>
      </c>
      <c r="F47" s="54">
        <f>+F45-E45</f>
        <v>368</v>
      </c>
      <c r="G47" s="54">
        <f>+G45-F45</f>
        <v>300</v>
      </c>
      <c r="H47" s="59">
        <v>980</v>
      </c>
      <c r="I47">
        <v>349</v>
      </c>
      <c r="J47">
        <v>709</v>
      </c>
      <c r="K47" s="65">
        <f>IF(SUM($D47:J47)&lt;(7500-$C45),IF((10000*K6/1000+SUM($D47:J47))&lt;(7500-$C45),10000*K6/1000,7500-$C45-SUM($D47:J47)),0)</f>
        <v>18</v>
      </c>
      <c r="L47" s="21">
        <f>IF(SUM($D47:K47)&lt;(7500-$C45),IF((10000*L6/1000+SUM($D47:K47))&lt;(7500-$C45),10000*L6/1000,7500-$C45-SUM($D47:K47)),0)</f>
        <v>0</v>
      </c>
      <c r="M47">
        <f>IF(SUM($D47:L47)&lt;(7500-$C45),IF((10000*M6/1000+SUM($D47:L47))&lt;(7500-$C45),10000*M6/1000,7500-$C45-SUM($D47:L47)),0)</f>
        <v>0</v>
      </c>
      <c r="N47">
        <f>IF(SUM($D47:M47)&lt;(7500-$C45),IF((10000*N6/1000+SUM($D47:M47))&lt;(7500-$C45),10000*N6/1000,7500-$C45-SUM($D47:M47)),0)</f>
        <v>0</v>
      </c>
      <c r="O47">
        <f>IF(SUM($D47:N47)&lt;(7500-$C45),IF((10000*O6/1000+SUM($D47:N47))&lt;(7500-$C45),10000*O6/1000,7500-$C45-SUM($D47:N47)),0)</f>
        <v>0</v>
      </c>
      <c r="P47">
        <f>IF(SUM($D47:O47)&lt;(7500-$C45),IF((10000*P6/1000+SUM($D47:O47))&lt;(7500-$C45),10000*P6/1000,7500-$C45-SUM($D47:O47)),0)</f>
        <v>0</v>
      </c>
      <c r="Q47">
        <f>IF(SUM($D47:P47)&lt;(7500-$C45),IF((10000*Q6/1000+SUM($D47:P47))&lt;(7500-$C45),10000*Q6/1000,7500-$C45-SUM($D47:P47)),0)</f>
        <v>0</v>
      </c>
      <c r="R47">
        <f>IF(SUM($D47:Q47)&lt;(7500-$C45),IF((10000*R6/1000+SUM($D47:Q47))&lt;(7500-$C45),10000*R6/1000,7500-$C45-SUM($D47:Q47)),0)</f>
        <v>0</v>
      </c>
      <c r="S47">
        <f>IF(SUM($D47:R47)&lt;(7500-$C45),IF((10000*S6/1000+SUM($D47:R47))&lt;(7500-$C45),10000*S6/1000,7500-$C45-SUM($D47:R47)),0)</f>
        <v>0</v>
      </c>
      <c r="T47">
        <f>IF(SUM($D47:S47)&lt;(7500-$C45),IF((10000*T6/1000+SUM($D47:S47))&lt;(7500-$C45),10000*T6/1000,7500-$C45-SUM($D47:S47)),0)</f>
        <v>0</v>
      </c>
      <c r="U47">
        <f>IF(SUM($D47:T47)&lt;(7500-$C45),IF((10000*U6/1000+SUM($D47:T47))&lt;(7500-$C45),10000*U6/1000,7500-$C45-SUM($D47:T47)),0)</f>
        <v>0</v>
      </c>
      <c r="V47">
        <f>IF(SUM($D47:U47)&lt;(7500-$C45),IF((10000*V6/1000+SUM($D47:U47))&lt;(7500-$C45),10000*V6/1000,7500-$C45-SUM($D47:U47)),0)</f>
        <v>0</v>
      </c>
      <c r="W47">
        <f>IF(SUM($D47:V47)&lt;(7500-$C45),IF((10000*W6/1000+SUM($D47:V47))&lt;(7500-$C45),10000*W6/1000,7500-$C45-SUM($D47:V47)),0)</f>
        <v>0</v>
      </c>
      <c r="X47">
        <f>IF(SUM($D47:W47)&lt;(7500-$C45),IF((10000*X6/1000+SUM($D47:W47))&lt;(7500-$C45),10000*X6/1000,7500-$C45-SUM($D47:W47)),0)</f>
        <v>0</v>
      </c>
      <c r="Y47">
        <f>IF(SUM($D47:X47)&lt;(7500-$C45),IF((10000*Y6/1000+SUM($D47:X47))&lt;(7500-$C45),10000*Y6/1000,7500-$C45-SUM($D47:X47)),0)</f>
        <v>0</v>
      </c>
      <c r="Z47">
        <f>IF(SUM($D47:Y47)&lt;(7500-$C45),IF((10000*Z6/1000+SUM($D47:Y47))&lt;(7500-$C45),10000*Z6/1000,7500-$C45-SUM($D47:Y47)),0)</f>
        <v>0</v>
      </c>
      <c r="AA47">
        <f>IF(SUM($D47:Z47)&lt;(7500-$C45),IF((10000*AA6/1000+SUM($D47:Z47))&lt;(7500-$C45),10000*AA6/1000,7500-$C45-SUM($D47:Z47)),0)</f>
        <v>0</v>
      </c>
      <c r="AB47">
        <f>IF(SUM($D47:AA47)&lt;(7500-$C45),IF((10000*AB6/1000+SUM($D47:AA47))&lt;(7500-$C45),10000*AB6/1000,7500-$C45-SUM($D47:AA47)),0)</f>
        <v>0</v>
      </c>
      <c r="AC47">
        <f>IF(SUM($D47:AB47)&lt;(7500-$C45),IF((10000*AC6/1000+SUM($D47:AB47))&lt;(7500-$C45),10000*AC6/1000,7500-$C45-SUM($D47:AB47)),0)</f>
        <v>0</v>
      </c>
    </row>
    <row r="48" spans="1:31" x14ac:dyDescent="0.25">
      <c r="A48" t="s">
        <v>55</v>
      </c>
      <c r="C48">
        <v>8</v>
      </c>
      <c r="D48" s="11">
        <v>8</v>
      </c>
      <c r="E48" s="11">
        <v>2</v>
      </c>
      <c r="F48" s="11">
        <v>33</v>
      </c>
      <c r="G48" s="11">
        <v>22</v>
      </c>
      <c r="H48">
        <v>42</v>
      </c>
      <c r="I48" s="11">
        <v>12</v>
      </c>
      <c r="J48" s="11">
        <v>1</v>
      </c>
      <c r="K48" s="78">
        <v>3</v>
      </c>
      <c r="L48" s="23">
        <f t="shared" ref="L48:AC48" si="29">+K48</f>
        <v>3</v>
      </c>
      <c r="M48" s="11">
        <f t="shared" si="29"/>
        <v>3</v>
      </c>
      <c r="N48" s="11">
        <f t="shared" si="29"/>
        <v>3</v>
      </c>
      <c r="O48" s="11">
        <f t="shared" si="29"/>
        <v>3</v>
      </c>
      <c r="P48" s="11">
        <f t="shared" si="29"/>
        <v>3</v>
      </c>
      <c r="Q48" s="11">
        <f t="shared" si="29"/>
        <v>3</v>
      </c>
      <c r="R48" s="11">
        <f t="shared" si="29"/>
        <v>3</v>
      </c>
      <c r="S48" s="11">
        <f t="shared" si="29"/>
        <v>3</v>
      </c>
      <c r="T48" s="11">
        <f t="shared" si="29"/>
        <v>3</v>
      </c>
      <c r="U48" s="11">
        <f t="shared" si="29"/>
        <v>3</v>
      </c>
      <c r="V48" s="11">
        <f t="shared" si="29"/>
        <v>3</v>
      </c>
      <c r="W48" s="11">
        <f t="shared" si="29"/>
        <v>3</v>
      </c>
      <c r="X48" s="11">
        <f t="shared" si="29"/>
        <v>3</v>
      </c>
      <c r="Y48" s="11">
        <f t="shared" si="29"/>
        <v>3</v>
      </c>
      <c r="Z48" s="11">
        <f t="shared" si="29"/>
        <v>3</v>
      </c>
      <c r="AA48" s="11">
        <f t="shared" si="29"/>
        <v>3</v>
      </c>
      <c r="AB48" s="11">
        <f t="shared" si="29"/>
        <v>3</v>
      </c>
      <c r="AC48" s="11">
        <f t="shared" si="29"/>
        <v>3</v>
      </c>
    </row>
    <row r="49" spans="1:29" x14ac:dyDescent="0.25">
      <c r="A49" t="s">
        <v>56</v>
      </c>
      <c r="C49">
        <f t="shared" ref="C49:F49" si="30">+C48-B48</f>
        <v>8</v>
      </c>
      <c r="D49" s="11">
        <f t="shared" si="30"/>
        <v>0</v>
      </c>
      <c r="E49" s="11">
        <f t="shared" si="30"/>
        <v>-6</v>
      </c>
      <c r="F49" s="11">
        <f t="shared" si="30"/>
        <v>31</v>
      </c>
      <c r="G49" s="11">
        <f>+G48-F48</f>
        <v>-11</v>
      </c>
      <c r="H49" s="11">
        <f>+H48-G48</f>
        <v>20</v>
      </c>
      <c r="I49" s="11">
        <f t="shared" ref="I49:AC49" si="31">+I48-H48</f>
        <v>-30</v>
      </c>
      <c r="J49" s="11">
        <f t="shared" si="31"/>
        <v>-11</v>
      </c>
      <c r="K49" s="78">
        <f t="shared" si="31"/>
        <v>2</v>
      </c>
      <c r="L49" s="23">
        <f t="shared" si="31"/>
        <v>0</v>
      </c>
      <c r="M49" s="11">
        <f t="shared" si="31"/>
        <v>0</v>
      </c>
      <c r="N49" s="11">
        <f t="shared" si="31"/>
        <v>0</v>
      </c>
      <c r="O49" s="11">
        <f t="shared" si="31"/>
        <v>0</v>
      </c>
      <c r="P49" s="11">
        <f t="shared" si="31"/>
        <v>0</v>
      </c>
      <c r="Q49" s="11">
        <f t="shared" si="31"/>
        <v>0</v>
      </c>
      <c r="R49" s="11">
        <f t="shared" si="31"/>
        <v>0</v>
      </c>
      <c r="S49" s="11">
        <f t="shared" si="31"/>
        <v>0</v>
      </c>
      <c r="T49" s="11">
        <f t="shared" si="31"/>
        <v>0</v>
      </c>
      <c r="U49" s="11">
        <f t="shared" si="31"/>
        <v>0</v>
      </c>
      <c r="V49" s="11">
        <f t="shared" si="31"/>
        <v>0</v>
      </c>
      <c r="W49" s="11">
        <f t="shared" si="31"/>
        <v>0</v>
      </c>
      <c r="X49" s="11">
        <f t="shared" si="31"/>
        <v>0</v>
      </c>
      <c r="Y49" s="11">
        <f t="shared" si="31"/>
        <v>0</v>
      </c>
      <c r="Z49" s="11">
        <f t="shared" si="31"/>
        <v>0</v>
      </c>
      <c r="AA49" s="11">
        <f t="shared" si="31"/>
        <v>0</v>
      </c>
      <c r="AB49" s="11">
        <f t="shared" si="31"/>
        <v>0</v>
      </c>
      <c r="AC49" s="11">
        <f t="shared" si="31"/>
        <v>0</v>
      </c>
    </row>
    <row r="50" spans="1:29" x14ac:dyDescent="0.25">
      <c r="D50" s="59"/>
      <c r="E50" s="59"/>
      <c r="F50" s="59"/>
      <c r="G50" s="59"/>
      <c r="H50" s="59"/>
      <c r="I50" s="59"/>
      <c r="K50" s="65"/>
      <c r="L50" s="21"/>
    </row>
    <row r="72" spans="1:29" x14ac:dyDescent="0.25">
      <c r="C72" s="4"/>
    </row>
    <row r="74" spans="1:29" x14ac:dyDescent="0.25">
      <c r="A74" t="s">
        <v>62</v>
      </c>
      <c r="C74" s="10">
        <f t="shared" ref="C74:E74" si="32">+C34-C18+C23+C29</f>
        <v>-299</v>
      </c>
      <c r="D74" s="10">
        <f t="shared" si="32"/>
        <v>-200</v>
      </c>
      <c r="E74" s="10">
        <f t="shared" si="32"/>
        <v>-214</v>
      </c>
      <c r="F74" s="10">
        <f>+F34-F18+F23+F29</f>
        <v>-173</v>
      </c>
      <c r="G74" s="10">
        <f t="shared" ref="G74:AC74" si="33">+G34-G18+G23+G29</f>
        <v>-161</v>
      </c>
      <c r="H74" s="10">
        <f t="shared" si="33"/>
        <v>-122</v>
      </c>
      <c r="I74" s="10">
        <f t="shared" si="33"/>
        <v>-143</v>
      </c>
      <c r="J74" s="10">
        <f t="shared" si="33"/>
        <v>-38</v>
      </c>
      <c r="K74" s="10">
        <f t="shared" si="33"/>
        <v>65</v>
      </c>
      <c r="L74" s="10">
        <f t="shared" si="33"/>
        <v>89.450000000000045</v>
      </c>
      <c r="M74" s="10">
        <f t="shared" si="33"/>
        <v>153.12680000000023</v>
      </c>
      <c r="N74" s="10">
        <f t="shared" si="33"/>
        <v>217.22548506250033</v>
      </c>
      <c r="O74" s="10">
        <f t="shared" si="33"/>
        <v>287.05481226129723</v>
      </c>
      <c r="P74" s="10">
        <f t="shared" si="33"/>
        <v>363.02004825409108</v>
      </c>
      <c r="Q74" s="10">
        <f t="shared" si="33"/>
        <v>445.55246314897676</v>
      </c>
      <c r="R74" s="10">
        <f t="shared" si="33"/>
        <v>535.11091233056504</v>
      </c>
      <c r="S74" s="10">
        <f t="shared" si="33"/>
        <v>632.18351130192286</v>
      </c>
      <c r="T74" s="10">
        <f t="shared" si="33"/>
        <v>737.2894088840294</v>
      </c>
      <c r="U74" s="10">
        <f t="shared" si="33"/>
        <v>850.98066441587832</v>
      </c>
      <c r="V74" s="10">
        <f t="shared" si="33"/>
        <v>973.84423491655434</v>
      </c>
      <c r="W74" s="10">
        <f t="shared" si="33"/>
        <v>1106.5040785065073</v>
      </c>
      <c r="X74" s="10">
        <f t="shared" si="33"/>
        <v>1249.6233807398414</v>
      </c>
      <c r="Y74" s="10">
        <f t="shared" si="33"/>
        <v>1405.9069108737099</v>
      </c>
      <c r="Z74" s="10">
        <f t="shared" si="33"/>
        <v>1574.1035154959748</v>
      </c>
      <c r="AA74" s="10">
        <f t="shared" si="33"/>
        <v>1715.127841916991</v>
      </c>
      <c r="AB74" s="10">
        <f t="shared" si="33"/>
        <v>1821.0068022362566</v>
      </c>
      <c r="AC74" s="10">
        <f t="shared" si="33"/>
        <v>1886.2638189967338</v>
      </c>
    </row>
    <row r="75" spans="1:29" x14ac:dyDescent="0.25">
      <c r="A75" t="s">
        <v>63</v>
      </c>
      <c r="C75" s="90">
        <f>+C34-C74</f>
        <v>-310</v>
      </c>
      <c r="D75" s="90">
        <f t="shared" ref="D75:AC75" si="34">+D34-D74</f>
        <v>-199</v>
      </c>
      <c r="E75" s="90">
        <f t="shared" si="34"/>
        <v>-71</v>
      </c>
      <c r="F75" s="90">
        <f t="shared" si="34"/>
        <v>-83</v>
      </c>
      <c r="G75" s="90">
        <f t="shared" si="34"/>
        <v>-73</v>
      </c>
      <c r="H75" s="90">
        <f t="shared" si="34"/>
        <v>-101</v>
      </c>
      <c r="I75" s="90">
        <f t="shared" si="34"/>
        <v>-162</v>
      </c>
      <c r="J75" s="90">
        <f t="shared" si="34"/>
        <v>-164</v>
      </c>
      <c r="K75" s="90">
        <f t="shared" si="34"/>
        <v>-232</v>
      </c>
      <c r="L75" s="90">
        <f t="shared" si="34"/>
        <v>-72</v>
      </c>
      <c r="M75" s="90">
        <f t="shared" si="34"/>
        <v>-63.799999999999955</v>
      </c>
      <c r="N75" s="90">
        <f t="shared" si="34"/>
        <v>-55.394999999999897</v>
      </c>
      <c r="O75" s="90">
        <f t="shared" si="34"/>
        <v>-46.779874999999947</v>
      </c>
      <c r="P75" s="90">
        <f t="shared" si="34"/>
        <v>-37.949371874999997</v>
      </c>
      <c r="Q75" s="90">
        <f t="shared" si="34"/>
        <v>-28.898106171874986</v>
      </c>
      <c r="R75" s="90">
        <f t="shared" si="34"/>
        <v>-29.620558826171873</v>
      </c>
      <c r="S75" s="90">
        <f t="shared" si="34"/>
        <v>-30.361072796826193</v>
      </c>
      <c r="T75" s="90">
        <f t="shared" si="34"/>
        <v>-31.120099616746984</v>
      </c>
      <c r="U75" s="90">
        <f t="shared" si="34"/>
        <v>-31.898102107165528</v>
      </c>
      <c r="V75" s="90">
        <f t="shared" si="34"/>
        <v>-32.695554659844674</v>
      </c>
      <c r="W75" s="90">
        <f t="shared" si="34"/>
        <v>-33.512943526340905</v>
      </c>
      <c r="X75" s="90">
        <f t="shared" si="34"/>
        <v>-34.350767114499376</v>
      </c>
      <c r="Y75" s="90">
        <f t="shared" si="34"/>
        <v>-35.209536292361918</v>
      </c>
      <c r="Z75" s="90">
        <f t="shared" si="34"/>
        <v>-36.089774699670897</v>
      </c>
      <c r="AA75" s="90">
        <f t="shared" si="34"/>
        <v>-36.992019067162573</v>
      </c>
      <c r="AB75" s="90">
        <f t="shared" si="34"/>
        <v>-37.916819543841484</v>
      </c>
      <c r="AC75" s="90">
        <f t="shared" si="34"/>
        <v>-38.864740032437567</v>
      </c>
    </row>
    <row r="76" spans="1:29" x14ac:dyDescent="0.25">
      <c r="A76" t="s">
        <v>64</v>
      </c>
      <c r="C76" s="10">
        <f t="shared" ref="C76:AC76" si="35">+C74+C75</f>
        <v>-609</v>
      </c>
      <c r="D76" s="10">
        <f t="shared" si="35"/>
        <v>-399</v>
      </c>
      <c r="E76" s="10">
        <f t="shared" si="35"/>
        <v>-285</v>
      </c>
      <c r="F76" s="10">
        <f t="shared" si="35"/>
        <v>-256</v>
      </c>
      <c r="G76" s="10">
        <f t="shared" si="35"/>
        <v>-234</v>
      </c>
      <c r="H76" s="10">
        <f t="shared" si="35"/>
        <v>-223</v>
      </c>
      <c r="I76" s="10">
        <f t="shared" si="35"/>
        <v>-305</v>
      </c>
      <c r="J76" s="10">
        <f t="shared" si="35"/>
        <v>-202</v>
      </c>
      <c r="K76" s="10">
        <f t="shared" si="35"/>
        <v>-167</v>
      </c>
      <c r="L76" s="10">
        <f t="shared" si="35"/>
        <v>17.450000000000045</v>
      </c>
      <c r="M76" s="10">
        <f t="shared" si="35"/>
        <v>89.326800000000276</v>
      </c>
      <c r="N76" s="10">
        <f t="shared" si="35"/>
        <v>161.83048506250043</v>
      </c>
      <c r="O76" s="10">
        <f t="shared" si="35"/>
        <v>240.27493726129728</v>
      </c>
      <c r="P76" s="10">
        <f t="shared" si="35"/>
        <v>325.07067637909108</v>
      </c>
      <c r="Q76" s="10">
        <f t="shared" si="35"/>
        <v>416.65435697710177</v>
      </c>
      <c r="R76" s="10">
        <f t="shared" si="35"/>
        <v>505.49035350439317</v>
      </c>
      <c r="S76" s="10">
        <f t="shared" si="35"/>
        <v>601.82243850509667</v>
      </c>
      <c r="T76" s="10">
        <f t="shared" si="35"/>
        <v>706.16930926728242</v>
      </c>
      <c r="U76" s="10">
        <f t="shared" si="35"/>
        <v>819.0825623087128</v>
      </c>
      <c r="V76" s="10">
        <f t="shared" si="35"/>
        <v>941.14868025670967</v>
      </c>
      <c r="W76" s="10">
        <f t="shared" si="35"/>
        <v>1072.9911349801664</v>
      </c>
      <c r="X76" s="10">
        <f t="shared" si="35"/>
        <v>1215.272613625342</v>
      </c>
      <c r="Y76" s="10">
        <f t="shared" si="35"/>
        <v>1370.697374581348</v>
      </c>
      <c r="Z76" s="10">
        <f t="shared" si="35"/>
        <v>1538.0137407963039</v>
      </c>
      <c r="AA76" s="10">
        <f t="shared" si="35"/>
        <v>1678.1358228498284</v>
      </c>
      <c r="AB76" s="10">
        <f t="shared" si="35"/>
        <v>1783.0899826924151</v>
      </c>
      <c r="AC76" s="10">
        <f t="shared" si="35"/>
        <v>1847.3990789642962</v>
      </c>
    </row>
    <row r="79" spans="1:29" x14ac:dyDescent="0.25"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43"/>
      <c r="R79" s="43"/>
      <c r="S79" s="43"/>
      <c r="T79" s="43"/>
      <c r="U79" s="43"/>
      <c r="V79" s="43"/>
      <c r="W79" s="43"/>
      <c r="X79" s="43"/>
      <c r="Y79" s="43"/>
      <c r="Z79" s="43"/>
      <c r="AA79" s="43"/>
      <c r="AB79" s="43"/>
      <c r="AC79" s="43"/>
    </row>
    <row r="80" spans="1:29" x14ac:dyDescent="0.25">
      <c r="D80" s="59"/>
      <c r="E80" s="59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</row>
    <row r="81" spans="6:29" x14ac:dyDescent="0.25">
      <c r="F81" s="59"/>
      <c r="G81" s="59"/>
      <c r="H81" s="59"/>
      <c r="I81" s="59"/>
      <c r="J81" s="59"/>
      <c r="K81" s="59"/>
      <c r="L81" s="59"/>
      <c r="M81" s="59"/>
      <c r="N81" s="59"/>
      <c r="O81" s="59"/>
      <c r="P81" s="59"/>
      <c r="Q81" s="59"/>
      <c r="R81" s="59"/>
      <c r="S81" s="59"/>
      <c r="T81" s="59"/>
      <c r="U81" s="59"/>
      <c r="V81" s="59"/>
      <c r="W81" s="59"/>
      <c r="X81" s="59"/>
      <c r="Y81" s="59"/>
      <c r="Z81" s="59"/>
      <c r="AA81" s="59"/>
      <c r="AB81" s="59"/>
      <c r="AC81" s="59"/>
    </row>
    <row r="85" spans="6:29" x14ac:dyDescent="0.25">
      <c r="H85" s="10"/>
      <c r="K85" s="111"/>
      <c r="L85" s="111"/>
      <c r="M85" s="111"/>
      <c r="N85" s="111"/>
      <c r="O85" s="111"/>
      <c r="P85" s="111"/>
      <c r="Q85" s="111"/>
      <c r="R85" s="111"/>
      <c r="S85" s="111"/>
      <c r="T85" s="111"/>
      <c r="U85" s="111"/>
      <c r="V85" s="111"/>
      <c r="W85" s="111"/>
      <c r="X85" s="111"/>
      <c r="Y85" s="111"/>
      <c r="Z85" s="111"/>
      <c r="AA85" s="111"/>
      <c r="AB85" s="111"/>
      <c r="AC85" s="111"/>
    </row>
    <row r="87" spans="6:29" x14ac:dyDescent="0.25">
      <c r="L87" s="103"/>
    </row>
    <row r="90" spans="6:29" x14ac:dyDescent="0.25"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  <c r="AA90" s="10"/>
      <c r="AB90" s="10"/>
      <c r="AC90" s="10"/>
    </row>
  </sheetData>
  <pageMargins left="0.7" right="0.7" top="0.75" bottom="0.75" header="0.3" footer="0.3"/>
  <pageSetup paperSize="17" scale="61" orientation="landscape" r:id="rId1"/>
  <drawing r:id="rId2"/>
  <legacy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0CE182-907F-4984-AED6-DA77396AC6BB}">
  <sheetPr>
    <pageSetUpPr fitToPage="1"/>
  </sheetPr>
  <dimension ref="A1:AN90"/>
  <sheetViews>
    <sheetView workbookViewId="0">
      <selection sqref="A1:XFD1048576"/>
    </sheetView>
  </sheetViews>
  <sheetFormatPr defaultRowHeight="15" x14ac:dyDescent="0.25"/>
  <cols>
    <col min="1" max="1" width="26.140625" customWidth="1"/>
    <col min="2" max="2" width="11.28515625" customWidth="1"/>
    <col min="3" max="3" width="11.5703125" hidden="1" customWidth="1"/>
    <col min="4" max="4" width="9.5703125" hidden="1" customWidth="1"/>
    <col min="5" max="5" width="10.5703125" hidden="1" customWidth="1"/>
    <col min="6" max="6" width="10" hidden="1" customWidth="1"/>
    <col min="7" max="7" width="9.42578125" customWidth="1"/>
    <col min="8" max="10" width="8.5703125" customWidth="1"/>
    <col min="11" max="11" width="9.42578125" customWidth="1"/>
    <col min="12" max="29" width="8.5703125" customWidth="1"/>
  </cols>
  <sheetData>
    <row r="1" spans="1:34" ht="23.25" customHeight="1" x14ac:dyDescent="0.4">
      <c r="A1" s="19" t="s">
        <v>22</v>
      </c>
    </row>
    <row r="2" spans="1:34" ht="18.75" x14ac:dyDescent="0.3">
      <c r="A2" s="20" t="s">
        <v>74</v>
      </c>
      <c r="G2" s="10"/>
      <c r="H2" s="79"/>
      <c r="I2" s="79"/>
      <c r="J2" s="79"/>
      <c r="K2" s="79"/>
      <c r="L2" s="79"/>
      <c r="M2" s="118" t="s">
        <v>57</v>
      </c>
    </row>
    <row r="3" spans="1:34" x14ac:dyDescent="0.25">
      <c r="A3" t="s">
        <v>28</v>
      </c>
      <c r="C3" s="14">
        <v>2009</v>
      </c>
      <c r="D3" s="14">
        <v>2010</v>
      </c>
      <c r="E3" s="14">
        <v>2011</v>
      </c>
      <c r="F3" s="14">
        <v>2012</v>
      </c>
      <c r="G3" s="14">
        <f t="shared" ref="G3:V3" si="0">+F3+1</f>
        <v>2013</v>
      </c>
      <c r="H3" s="14">
        <f t="shared" si="0"/>
        <v>2014</v>
      </c>
      <c r="I3" s="14">
        <f t="shared" si="0"/>
        <v>2015</v>
      </c>
      <c r="J3" s="14">
        <f t="shared" si="0"/>
        <v>2016</v>
      </c>
      <c r="K3" s="14">
        <f t="shared" si="0"/>
        <v>2017</v>
      </c>
      <c r="L3" s="64">
        <f t="shared" si="0"/>
        <v>2018</v>
      </c>
      <c r="M3" s="27">
        <f t="shared" si="0"/>
        <v>2019</v>
      </c>
      <c r="N3" s="14">
        <f t="shared" si="0"/>
        <v>2020</v>
      </c>
      <c r="O3" s="14">
        <f t="shared" si="0"/>
        <v>2021</v>
      </c>
      <c r="P3" s="14">
        <f t="shared" si="0"/>
        <v>2022</v>
      </c>
      <c r="Q3" s="14">
        <f t="shared" si="0"/>
        <v>2023</v>
      </c>
      <c r="R3" s="14">
        <f t="shared" si="0"/>
        <v>2024</v>
      </c>
      <c r="S3" s="14">
        <f t="shared" si="0"/>
        <v>2025</v>
      </c>
      <c r="T3" s="14">
        <f t="shared" si="0"/>
        <v>2026</v>
      </c>
      <c r="U3" s="14">
        <f t="shared" si="0"/>
        <v>2027</v>
      </c>
      <c r="V3" s="14">
        <f t="shared" si="0"/>
        <v>2028</v>
      </c>
      <c r="W3" s="14">
        <f>+V3+1</f>
        <v>2029</v>
      </c>
      <c r="X3" s="14">
        <f>+W3+1</f>
        <v>2030</v>
      </c>
      <c r="Y3" s="14">
        <f t="shared" ref="Y3:AH3" si="1">+X3+1</f>
        <v>2031</v>
      </c>
      <c r="Z3" s="14">
        <f t="shared" si="1"/>
        <v>2032</v>
      </c>
      <c r="AA3" s="14">
        <f t="shared" si="1"/>
        <v>2033</v>
      </c>
      <c r="AB3" s="14">
        <f t="shared" si="1"/>
        <v>2034</v>
      </c>
      <c r="AC3" s="14">
        <f t="shared" si="1"/>
        <v>2035</v>
      </c>
      <c r="AD3" s="14">
        <f t="shared" si="1"/>
        <v>2036</v>
      </c>
      <c r="AE3" s="14">
        <f t="shared" si="1"/>
        <v>2037</v>
      </c>
      <c r="AF3" s="14">
        <f t="shared" si="1"/>
        <v>2038</v>
      </c>
      <c r="AG3" s="14">
        <f t="shared" si="1"/>
        <v>2039</v>
      </c>
      <c r="AH3" s="14">
        <f t="shared" si="1"/>
        <v>2040</v>
      </c>
    </row>
    <row r="4" spans="1:34" x14ac:dyDescent="0.25">
      <c r="L4" s="65"/>
      <c r="M4" s="21"/>
    </row>
    <row r="5" spans="1:34" s="4" customFormat="1" x14ac:dyDescent="0.25">
      <c r="A5" s="104" t="s">
        <v>50</v>
      </c>
      <c r="C5" s="43">
        <v>332</v>
      </c>
      <c r="D5" s="43">
        <f>+C5+D6</f>
        <v>379</v>
      </c>
      <c r="E5" s="43">
        <f t="shared" ref="E5:AH5" si="2">+D5+E6</f>
        <v>424</v>
      </c>
      <c r="F5" s="43">
        <f t="shared" si="2"/>
        <v>468</v>
      </c>
      <c r="G5" s="43">
        <f t="shared" si="2"/>
        <v>510</v>
      </c>
      <c r="H5" s="43">
        <f t="shared" si="2"/>
        <v>544</v>
      </c>
      <c r="I5" s="43">
        <f t="shared" si="2"/>
        <v>581</v>
      </c>
      <c r="J5" s="43">
        <f t="shared" si="2"/>
        <v>615</v>
      </c>
      <c r="K5" s="43">
        <f t="shared" si="2"/>
        <v>671</v>
      </c>
      <c r="L5" s="68">
        <f t="shared" si="2"/>
        <v>717</v>
      </c>
      <c r="M5" s="24">
        <f t="shared" si="2"/>
        <v>759</v>
      </c>
      <c r="N5" s="4">
        <f t="shared" si="2"/>
        <v>801</v>
      </c>
      <c r="O5" s="4">
        <f t="shared" si="2"/>
        <v>843</v>
      </c>
      <c r="P5" s="4">
        <f t="shared" si="2"/>
        <v>885</v>
      </c>
      <c r="Q5" s="4">
        <f t="shared" si="2"/>
        <v>927</v>
      </c>
      <c r="R5" s="4">
        <f t="shared" si="2"/>
        <v>969</v>
      </c>
      <c r="S5" s="4">
        <f t="shared" si="2"/>
        <v>1011</v>
      </c>
      <c r="T5" s="4">
        <f t="shared" si="2"/>
        <v>1053</v>
      </c>
      <c r="U5" s="4">
        <f t="shared" si="2"/>
        <v>1095</v>
      </c>
      <c r="V5" s="4">
        <f t="shared" si="2"/>
        <v>1137</v>
      </c>
      <c r="W5" s="4">
        <f t="shared" si="2"/>
        <v>1179</v>
      </c>
      <c r="X5" s="4">
        <f t="shared" si="2"/>
        <v>1221</v>
      </c>
      <c r="Y5" s="4">
        <f t="shared" si="2"/>
        <v>1263</v>
      </c>
      <c r="Z5" s="4">
        <f t="shared" si="2"/>
        <v>1305</v>
      </c>
      <c r="AA5" s="4">
        <f t="shared" si="2"/>
        <v>1347</v>
      </c>
      <c r="AB5" s="4">
        <f t="shared" si="2"/>
        <v>1373</v>
      </c>
      <c r="AC5" s="4">
        <f t="shared" si="2"/>
        <v>1373</v>
      </c>
      <c r="AD5" s="4">
        <f t="shared" si="2"/>
        <v>1373</v>
      </c>
      <c r="AE5" s="4">
        <f t="shared" si="2"/>
        <v>1373</v>
      </c>
      <c r="AF5" s="4">
        <f t="shared" si="2"/>
        <v>1373</v>
      </c>
      <c r="AG5" s="4">
        <f t="shared" si="2"/>
        <v>1373</v>
      </c>
      <c r="AH5" s="4">
        <f t="shared" si="2"/>
        <v>1373</v>
      </c>
    </row>
    <row r="6" spans="1:34" x14ac:dyDescent="0.25">
      <c r="A6" s="1" t="s">
        <v>68</v>
      </c>
      <c r="D6" s="3">
        <v>47</v>
      </c>
      <c r="E6" s="3">
        <v>45</v>
      </c>
      <c r="F6" s="3">
        <v>44</v>
      </c>
      <c r="G6" s="3">
        <v>42</v>
      </c>
      <c r="H6" s="3">
        <v>34</v>
      </c>
      <c r="I6" s="3">
        <v>37</v>
      </c>
      <c r="J6" s="3">
        <v>34</v>
      </c>
      <c r="K6" s="3">
        <v>56</v>
      </c>
      <c r="L6" s="66">
        <v>46</v>
      </c>
      <c r="M6" s="28">
        <v>42</v>
      </c>
      <c r="N6" s="3">
        <v>42</v>
      </c>
      <c r="O6" s="3">
        <v>42</v>
      </c>
      <c r="P6" s="3">
        <v>42</v>
      </c>
      <c r="Q6" s="3">
        <v>42</v>
      </c>
      <c r="R6" s="3">
        <v>42</v>
      </c>
      <c r="S6" s="3">
        <v>42</v>
      </c>
      <c r="T6" s="3">
        <v>42</v>
      </c>
      <c r="U6" s="3">
        <v>42</v>
      </c>
      <c r="V6" s="3">
        <v>42</v>
      </c>
      <c r="W6" s="3">
        <v>42</v>
      </c>
      <c r="X6" s="3">
        <v>42</v>
      </c>
      <c r="Y6" s="3">
        <v>42</v>
      </c>
      <c r="Z6" s="3">
        <v>42</v>
      </c>
      <c r="AA6" s="3">
        <v>42</v>
      </c>
      <c r="AB6" s="3">
        <v>26</v>
      </c>
      <c r="AC6" s="3">
        <v>0</v>
      </c>
      <c r="AD6" s="3">
        <v>0</v>
      </c>
      <c r="AE6" s="3">
        <v>0</v>
      </c>
      <c r="AF6" s="3">
        <v>0</v>
      </c>
      <c r="AG6" s="3">
        <v>0</v>
      </c>
      <c r="AH6" s="3">
        <v>0</v>
      </c>
    </row>
    <row r="7" spans="1:34" s="105" customFormat="1" x14ac:dyDescent="0.25">
      <c r="A7" s="105" t="s">
        <v>32</v>
      </c>
      <c r="D7" s="106">
        <f>+D8/C8-1</f>
        <v>9.8654708520179435E-2</v>
      </c>
      <c r="E7" s="106">
        <v>0</v>
      </c>
      <c r="F7" s="106">
        <v>0.05</v>
      </c>
      <c r="G7" s="106">
        <v>0.05</v>
      </c>
      <c r="H7" s="107">
        <v>0.05</v>
      </c>
      <c r="I7" s="107">
        <v>0.05</v>
      </c>
      <c r="J7" s="107">
        <v>0.05</v>
      </c>
      <c r="K7" s="107">
        <v>0</v>
      </c>
      <c r="L7" s="126">
        <v>0.05</v>
      </c>
      <c r="M7" s="125">
        <v>0.05</v>
      </c>
      <c r="N7" s="129">
        <f>+N8/M8-1</f>
        <v>5.0000000000000044E-2</v>
      </c>
      <c r="O7" s="129">
        <f t="shared" ref="O7:AH7" si="3">+O8/N8-1</f>
        <v>5.0000000000000044E-2</v>
      </c>
      <c r="P7" s="129">
        <f t="shared" si="3"/>
        <v>5.0000000000000044E-2</v>
      </c>
      <c r="Q7" s="129">
        <f t="shared" si="3"/>
        <v>5.0000000000000044E-2</v>
      </c>
      <c r="R7" s="129">
        <f t="shared" si="3"/>
        <v>5.0000000000000044E-2</v>
      </c>
      <c r="S7" s="129">
        <f t="shared" si="3"/>
        <v>5.0000000000000044E-2</v>
      </c>
      <c r="T7" s="129">
        <f t="shared" si="3"/>
        <v>5.0000000000000044E-2</v>
      </c>
      <c r="U7" s="129">
        <f t="shared" si="3"/>
        <v>5.0000000000000044E-2</v>
      </c>
      <c r="V7" s="129">
        <f t="shared" si="3"/>
        <v>5.0000000000000044E-2</v>
      </c>
      <c r="W7" s="129">
        <f t="shared" si="3"/>
        <v>5.0000000000000044E-2</v>
      </c>
      <c r="X7" s="129">
        <f t="shared" si="3"/>
        <v>5.0000000000000044E-2</v>
      </c>
      <c r="Y7" s="129">
        <f t="shared" si="3"/>
        <v>5.0000000000000044E-2</v>
      </c>
      <c r="Z7" s="129">
        <f t="shared" si="3"/>
        <v>5.0000000000000044E-2</v>
      </c>
      <c r="AA7" s="129">
        <f t="shared" si="3"/>
        <v>3.5718739418019174E-2</v>
      </c>
      <c r="AB7" s="129">
        <f t="shared" si="3"/>
        <v>2.5000000000000133E-2</v>
      </c>
      <c r="AC7" s="129">
        <f t="shared" si="3"/>
        <v>2.5000000000000133E-2</v>
      </c>
      <c r="AD7" s="129">
        <f t="shared" si="3"/>
        <v>2.4999999999999911E-2</v>
      </c>
      <c r="AE7" s="129">
        <f t="shared" si="3"/>
        <v>2.4999999999999911E-2</v>
      </c>
      <c r="AF7" s="129">
        <f t="shared" si="3"/>
        <v>0</v>
      </c>
      <c r="AG7" s="129">
        <f t="shared" si="3"/>
        <v>0</v>
      </c>
      <c r="AH7" s="129">
        <f t="shared" si="3"/>
        <v>0</v>
      </c>
    </row>
    <row r="8" spans="1:34" x14ac:dyDescent="0.25">
      <c r="A8" t="s">
        <v>3</v>
      </c>
      <c r="C8" s="3">
        <f>55.75*12</f>
        <v>669</v>
      </c>
      <c r="D8" s="3">
        <v>735</v>
      </c>
      <c r="E8" s="3">
        <v>735</v>
      </c>
      <c r="F8" s="121">
        <v>772</v>
      </c>
      <c r="G8" s="121">
        <v>810</v>
      </c>
      <c r="H8" s="122">
        <v>850</v>
      </c>
      <c r="I8" s="122">
        <v>892</v>
      </c>
      <c r="J8" s="122">
        <v>936</v>
      </c>
      <c r="K8" s="122">
        <v>936</v>
      </c>
      <c r="L8" s="123">
        <v>984</v>
      </c>
      <c r="M8" s="24">
        <v>1032</v>
      </c>
      <c r="N8" s="4">
        <f>IF(L44=0,M8,MIN(1.05*M8,1200*1.025^(N3-$F3)))</f>
        <v>1083.6000000000001</v>
      </c>
      <c r="O8" s="4">
        <f t="shared" ref="O8:AH8" si="4">IF(M44=0,N8,MIN(1.05*N8,1200*1.025^(O3-$F3)))</f>
        <v>1137.7800000000002</v>
      </c>
      <c r="P8" s="4">
        <f t="shared" si="4"/>
        <v>1194.6690000000003</v>
      </c>
      <c r="Q8" s="4">
        <f t="shared" si="4"/>
        <v>1254.4024500000005</v>
      </c>
      <c r="R8" s="4">
        <f t="shared" si="4"/>
        <v>1317.1225725000006</v>
      </c>
      <c r="S8" s="4">
        <f t="shared" si="4"/>
        <v>1382.9787011250007</v>
      </c>
      <c r="T8" s="4">
        <f t="shared" si="4"/>
        <v>1452.1276361812509</v>
      </c>
      <c r="U8" s="4">
        <f t="shared" si="4"/>
        <v>1524.7340179903135</v>
      </c>
      <c r="V8" s="4">
        <f t="shared" si="4"/>
        <v>1600.9707188898292</v>
      </c>
      <c r="W8" s="4">
        <f t="shared" si="4"/>
        <v>1681.0192548343207</v>
      </c>
      <c r="X8" s="4">
        <f t="shared" si="4"/>
        <v>1765.0702175760368</v>
      </c>
      <c r="Y8" s="4">
        <f t="shared" si="4"/>
        <v>1853.3237284548388</v>
      </c>
      <c r="Z8" s="4">
        <f t="shared" si="4"/>
        <v>1945.9899148775808</v>
      </c>
      <c r="AA8" s="4">
        <f t="shared" si="4"/>
        <v>2015.4982215571863</v>
      </c>
      <c r="AB8" s="4">
        <f t="shared" si="4"/>
        <v>2065.8856770961161</v>
      </c>
      <c r="AC8" s="4">
        <f t="shared" si="4"/>
        <v>2117.5328190235191</v>
      </c>
      <c r="AD8" s="4">
        <f t="shared" si="4"/>
        <v>2170.4711394991068</v>
      </c>
      <c r="AE8" s="4">
        <f t="shared" si="4"/>
        <v>2224.7329179865842</v>
      </c>
      <c r="AF8" s="4">
        <f t="shared" si="4"/>
        <v>2224.7329179865842</v>
      </c>
      <c r="AG8" s="4">
        <f t="shared" si="4"/>
        <v>2224.7329179865842</v>
      </c>
      <c r="AH8" s="4">
        <f t="shared" si="4"/>
        <v>2224.7329179865842</v>
      </c>
    </row>
    <row r="9" spans="1:34" x14ac:dyDescent="0.25">
      <c r="A9" t="s">
        <v>4</v>
      </c>
      <c r="E9" s="44"/>
      <c r="F9" s="51"/>
      <c r="G9" s="44"/>
      <c r="H9" s="44"/>
      <c r="I9" s="44"/>
      <c r="J9" s="51"/>
      <c r="K9" s="51"/>
      <c r="L9" s="97">
        <v>2.5000000000000001E-2</v>
      </c>
      <c r="M9" s="47">
        <f t="shared" ref="M9:AH9" si="5">+L9</f>
        <v>2.5000000000000001E-2</v>
      </c>
      <c r="N9" s="17">
        <f t="shared" si="5"/>
        <v>2.5000000000000001E-2</v>
      </c>
      <c r="O9" s="17">
        <f t="shared" si="5"/>
        <v>2.5000000000000001E-2</v>
      </c>
      <c r="P9" s="17">
        <f t="shared" si="5"/>
        <v>2.5000000000000001E-2</v>
      </c>
      <c r="Q9" s="17">
        <f t="shared" si="5"/>
        <v>2.5000000000000001E-2</v>
      </c>
      <c r="R9" s="17">
        <f t="shared" si="5"/>
        <v>2.5000000000000001E-2</v>
      </c>
      <c r="S9" s="17">
        <f t="shared" si="5"/>
        <v>2.5000000000000001E-2</v>
      </c>
      <c r="T9" s="17">
        <f t="shared" si="5"/>
        <v>2.5000000000000001E-2</v>
      </c>
      <c r="U9" s="17">
        <f t="shared" si="5"/>
        <v>2.5000000000000001E-2</v>
      </c>
      <c r="V9" s="17">
        <f t="shared" si="5"/>
        <v>2.5000000000000001E-2</v>
      </c>
      <c r="W9" s="17">
        <f t="shared" si="5"/>
        <v>2.5000000000000001E-2</v>
      </c>
      <c r="X9" s="17">
        <f t="shared" si="5"/>
        <v>2.5000000000000001E-2</v>
      </c>
      <c r="Y9" s="17">
        <f t="shared" si="5"/>
        <v>2.5000000000000001E-2</v>
      </c>
      <c r="Z9" s="17">
        <f t="shared" si="5"/>
        <v>2.5000000000000001E-2</v>
      </c>
      <c r="AA9" s="17">
        <f t="shared" si="5"/>
        <v>2.5000000000000001E-2</v>
      </c>
      <c r="AB9" s="17">
        <f t="shared" si="5"/>
        <v>2.5000000000000001E-2</v>
      </c>
      <c r="AC9" s="17">
        <f t="shared" si="5"/>
        <v>2.5000000000000001E-2</v>
      </c>
      <c r="AD9" s="17">
        <f t="shared" si="5"/>
        <v>2.5000000000000001E-2</v>
      </c>
      <c r="AE9" s="17">
        <f t="shared" si="5"/>
        <v>2.5000000000000001E-2</v>
      </c>
      <c r="AF9" s="17">
        <f t="shared" si="5"/>
        <v>2.5000000000000001E-2</v>
      </c>
      <c r="AG9" s="17">
        <f t="shared" si="5"/>
        <v>2.5000000000000001E-2</v>
      </c>
      <c r="AH9" s="17">
        <f t="shared" si="5"/>
        <v>2.5000000000000001E-2</v>
      </c>
    </row>
    <row r="10" spans="1:34" x14ac:dyDescent="0.25">
      <c r="A10" t="s">
        <v>24</v>
      </c>
      <c r="E10" s="45"/>
      <c r="F10" s="45"/>
      <c r="G10" s="45"/>
      <c r="H10" s="45"/>
      <c r="I10" s="45"/>
      <c r="J10" s="45"/>
      <c r="K10" s="45"/>
      <c r="L10" s="70">
        <v>0</v>
      </c>
      <c r="M10" s="37">
        <v>0</v>
      </c>
      <c r="N10" s="16">
        <v>0</v>
      </c>
      <c r="O10" s="16">
        <v>0</v>
      </c>
      <c r="P10" s="16">
        <v>0</v>
      </c>
      <c r="Q10" s="16">
        <v>0</v>
      </c>
      <c r="R10" s="16">
        <v>0</v>
      </c>
      <c r="S10" s="16">
        <v>0</v>
      </c>
      <c r="T10" s="16">
        <v>0</v>
      </c>
      <c r="U10" s="16">
        <v>0</v>
      </c>
      <c r="V10" s="16">
        <v>0</v>
      </c>
      <c r="W10" s="16">
        <v>0</v>
      </c>
      <c r="X10" s="16">
        <v>0</v>
      </c>
      <c r="Y10" s="16">
        <v>0</v>
      </c>
      <c r="Z10" s="16">
        <v>0</v>
      </c>
      <c r="AA10" s="16">
        <v>0</v>
      </c>
      <c r="AB10" s="16">
        <v>0</v>
      </c>
      <c r="AC10" s="16">
        <v>0</v>
      </c>
      <c r="AD10" s="16">
        <v>0</v>
      </c>
      <c r="AE10" s="16">
        <v>0</v>
      </c>
      <c r="AF10" s="16">
        <v>0</v>
      </c>
      <c r="AG10" s="16">
        <v>0</v>
      </c>
      <c r="AH10" s="16">
        <v>0</v>
      </c>
    </row>
    <row r="11" spans="1:34" x14ac:dyDescent="0.25">
      <c r="A11" t="s">
        <v>25</v>
      </c>
      <c r="D11" s="18">
        <v>4.2500000000000003E-2</v>
      </c>
      <c r="E11" s="46">
        <v>4.2500000000000003E-2</v>
      </c>
      <c r="F11" s="46">
        <v>4.2500000000000003E-2</v>
      </c>
      <c r="G11" s="62">
        <v>3.2500000000000001E-2</v>
      </c>
      <c r="H11" s="62">
        <v>3.2500000000000001E-2</v>
      </c>
      <c r="I11" s="62">
        <v>3.2500000000000001E-2</v>
      </c>
      <c r="J11" s="46">
        <v>3.2500000000000001E-2</v>
      </c>
      <c r="K11" s="46">
        <v>3.2500000000000001E-2</v>
      </c>
      <c r="L11" s="98">
        <v>3.2500000000000001E-2</v>
      </c>
      <c r="M11" s="38">
        <v>3.2500000000000001E-2</v>
      </c>
      <c r="N11" s="18">
        <v>3.2500000000000001E-2</v>
      </c>
      <c r="O11" s="18">
        <v>3.2500000000000001E-2</v>
      </c>
      <c r="P11" s="18">
        <v>3.2500000000000001E-2</v>
      </c>
      <c r="Q11" s="18">
        <v>3.2500000000000001E-2</v>
      </c>
      <c r="R11" s="18">
        <v>3.2500000000000001E-2</v>
      </c>
      <c r="S11" s="18">
        <v>3.2500000000000001E-2</v>
      </c>
      <c r="T11" s="18">
        <v>3.2500000000000001E-2</v>
      </c>
      <c r="U11" s="18">
        <v>3.2500000000000001E-2</v>
      </c>
      <c r="V11" s="18">
        <v>3.2500000000000001E-2</v>
      </c>
      <c r="W11" s="18">
        <v>3.2500000000000001E-2</v>
      </c>
      <c r="X11" s="18">
        <v>3.2500000000000001E-2</v>
      </c>
      <c r="Y11" s="18">
        <v>3.2500000000000001E-2</v>
      </c>
      <c r="Z11" s="18">
        <v>3.2500000000000001E-2</v>
      </c>
      <c r="AA11" s="18">
        <v>3.2500000000000001E-2</v>
      </c>
      <c r="AB11" s="18">
        <v>3.2500000000000001E-2</v>
      </c>
      <c r="AC11" s="18">
        <v>3.2500000000000001E-2</v>
      </c>
      <c r="AD11" s="18">
        <v>3.2500000000000001E-2</v>
      </c>
      <c r="AE11" s="18">
        <v>3.2500000000000001E-2</v>
      </c>
      <c r="AF11" s="18">
        <v>3.2500000000000001E-2</v>
      </c>
      <c r="AG11" s="18">
        <v>3.2500000000000001E-2</v>
      </c>
      <c r="AH11" s="18">
        <v>3.2500000000000001E-2</v>
      </c>
    </row>
    <row r="12" spans="1:34" x14ac:dyDescent="0.25">
      <c r="L12" s="65"/>
      <c r="M12" s="21"/>
    </row>
    <row r="13" spans="1:34" x14ac:dyDescent="0.25">
      <c r="A13" s="7" t="s">
        <v>41</v>
      </c>
      <c r="I13" s="58"/>
      <c r="K13" s="58"/>
      <c r="L13" s="65"/>
      <c r="M13" s="21"/>
    </row>
    <row r="14" spans="1:34" x14ac:dyDescent="0.25">
      <c r="A14" t="s">
        <v>2</v>
      </c>
      <c r="C14" s="3">
        <v>214</v>
      </c>
      <c r="D14" s="3">
        <v>267</v>
      </c>
      <c r="E14" s="3">
        <v>297</v>
      </c>
      <c r="F14" s="34">
        <v>348</v>
      </c>
      <c r="G14" s="34">
        <v>398</v>
      </c>
      <c r="H14" s="34">
        <v>447</v>
      </c>
      <c r="I14" s="3">
        <v>506</v>
      </c>
      <c r="J14" s="43">
        <v>562</v>
      </c>
      <c r="K14" s="43">
        <v>606</v>
      </c>
      <c r="L14" s="68">
        <v>680</v>
      </c>
      <c r="M14" s="24">
        <v>753</v>
      </c>
      <c r="N14" s="4">
        <f t="shared" ref="N14:AH14" si="6">+(N5+M5)/2*N8/1000</f>
        <v>845.20800000000008</v>
      </c>
      <c r="O14" s="4">
        <f t="shared" si="6"/>
        <v>935.25516000000016</v>
      </c>
      <c r="P14" s="4">
        <f t="shared" si="6"/>
        <v>1032.1940160000004</v>
      </c>
      <c r="Q14" s="4">
        <f t="shared" si="6"/>
        <v>1136.4886197000003</v>
      </c>
      <c r="R14" s="4">
        <f t="shared" si="6"/>
        <v>1248.6321987300005</v>
      </c>
      <c r="S14" s="4">
        <f t="shared" si="6"/>
        <v>1369.1489141137506</v>
      </c>
      <c r="T14" s="4">
        <f t="shared" si="6"/>
        <v>1498.5957205390509</v>
      </c>
      <c r="U14" s="4">
        <f t="shared" si="6"/>
        <v>1637.5643353215969</v>
      </c>
      <c r="V14" s="4">
        <f t="shared" si="6"/>
        <v>1786.6833222810494</v>
      </c>
      <c r="W14" s="4">
        <f t="shared" si="6"/>
        <v>1946.6202970981433</v>
      </c>
      <c r="X14" s="4">
        <f t="shared" si="6"/>
        <v>2118.0842610912446</v>
      </c>
      <c r="Y14" s="4">
        <f t="shared" si="6"/>
        <v>2301.8280707409099</v>
      </c>
      <c r="Z14" s="4">
        <f t="shared" si="6"/>
        <v>2498.6510507028133</v>
      </c>
      <c r="AA14" s="4">
        <f t="shared" si="6"/>
        <v>2672.5506417848292</v>
      </c>
      <c r="AB14" s="4">
        <f t="shared" si="6"/>
        <v>2809.604520850718</v>
      </c>
      <c r="AC14" s="4">
        <f t="shared" si="6"/>
        <v>2907.3725605192917</v>
      </c>
      <c r="AD14" s="4">
        <f t="shared" si="6"/>
        <v>2980.0568745322735</v>
      </c>
      <c r="AE14" s="4">
        <f t="shared" si="6"/>
        <v>3054.5582963955803</v>
      </c>
      <c r="AF14" s="4">
        <f t="shared" si="6"/>
        <v>3054.5582963955803</v>
      </c>
      <c r="AG14" s="4">
        <f t="shared" si="6"/>
        <v>3054.5582963955803</v>
      </c>
      <c r="AH14" s="4">
        <f t="shared" si="6"/>
        <v>3054.5582963955803</v>
      </c>
    </row>
    <row r="15" spans="1:34" x14ac:dyDescent="0.25">
      <c r="A15" t="s">
        <v>5</v>
      </c>
      <c r="C15" s="3">
        <v>5</v>
      </c>
      <c r="D15" s="3">
        <v>5</v>
      </c>
      <c r="E15" s="3">
        <v>5</v>
      </c>
      <c r="F15" s="34">
        <v>5</v>
      </c>
      <c r="G15" s="34">
        <v>5</v>
      </c>
      <c r="H15" s="34">
        <v>5</v>
      </c>
      <c r="I15" s="3">
        <v>5</v>
      </c>
      <c r="J15" s="43">
        <v>6</v>
      </c>
      <c r="K15" s="43">
        <v>0</v>
      </c>
      <c r="L15" s="68">
        <f t="shared" ref="L15:AA16" si="7">+K15*(1+L$9)</f>
        <v>0</v>
      </c>
      <c r="M15" s="24">
        <f t="shared" si="7"/>
        <v>0</v>
      </c>
      <c r="N15" s="4">
        <f t="shared" si="7"/>
        <v>0</v>
      </c>
      <c r="O15" s="4">
        <f t="shared" si="7"/>
        <v>0</v>
      </c>
      <c r="P15" s="4">
        <f t="shared" si="7"/>
        <v>0</v>
      </c>
      <c r="Q15" s="4">
        <f t="shared" si="7"/>
        <v>0</v>
      </c>
      <c r="R15" s="4">
        <f t="shared" si="7"/>
        <v>0</v>
      </c>
      <c r="S15" s="4">
        <f t="shared" si="7"/>
        <v>0</v>
      </c>
      <c r="T15" s="4">
        <f t="shared" si="7"/>
        <v>0</v>
      </c>
      <c r="U15" s="4">
        <f t="shared" si="7"/>
        <v>0</v>
      </c>
      <c r="V15" s="4">
        <f t="shared" si="7"/>
        <v>0</v>
      </c>
      <c r="W15" s="4">
        <f t="shared" si="7"/>
        <v>0</v>
      </c>
      <c r="X15" s="4">
        <f t="shared" si="7"/>
        <v>0</v>
      </c>
      <c r="Y15" s="4">
        <f t="shared" si="7"/>
        <v>0</v>
      </c>
      <c r="Z15" s="4">
        <f t="shared" si="7"/>
        <v>0</v>
      </c>
      <c r="AA15" s="4">
        <f t="shared" si="7"/>
        <v>0</v>
      </c>
      <c r="AB15" s="4">
        <f t="shared" ref="AB15:AH16" si="8">+AA15*(1+AB$9)</f>
        <v>0</v>
      </c>
      <c r="AC15" s="4">
        <f t="shared" si="8"/>
        <v>0</v>
      </c>
      <c r="AD15" s="4">
        <f t="shared" si="8"/>
        <v>0</v>
      </c>
      <c r="AE15" s="4">
        <f t="shared" si="8"/>
        <v>0</v>
      </c>
      <c r="AF15" s="4">
        <f t="shared" si="8"/>
        <v>0</v>
      </c>
      <c r="AG15" s="4">
        <f t="shared" si="8"/>
        <v>0</v>
      </c>
      <c r="AH15" s="4">
        <f t="shared" si="8"/>
        <v>0</v>
      </c>
    </row>
    <row r="16" spans="1:34" x14ac:dyDescent="0.25">
      <c r="A16" t="s">
        <v>39</v>
      </c>
      <c r="C16" s="3">
        <v>4</v>
      </c>
      <c r="D16" s="3">
        <v>3</v>
      </c>
      <c r="E16" s="3">
        <v>20</v>
      </c>
      <c r="F16" s="34">
        <v>5</v>
      </c>
      <c r="G16" s="34">
        <v>5</v>
      </c>
      <c r="H16" s="34">
        <v>5</v>
      </c>
      <c r="I16" s="3">
        <v>13</v>
      </c>
      <c r="J16" s="43">
        <v>23</v>
      </c>
      <c r="K16" s="43">
        <v>30</v>
      </c>
      <c r="L16" s="68">
        <v>49</v>
      </c>
      <c r="M16" s="24">
        <v>30</v>
      </c>
      <c r="N16" s="4">
        <f t="shared" si="7"/>
        <v>30.749999999999996</v>
      </c>
      <c r="O16" s="4">
        <f t="shared" si="7"/>
        <v>31.518749999999994</v>
      </c>
      <c r="P16" s="4">
        <f t="shared" si="7"/>
        <v>32.306718749999987</v>
      </c>
      <c r="Q16" s="4">
        <f t="shared" si="7"/>
        <v>33.114386718749984</v>
      </c>
      <c r="R16" s="4">
        <f t="shared" si="7"/>
        <v>33.942246386718729</v>
      </c>
      <c r="S16" s="4">
        <f t="shared" si="7"/>
        <v>34.790802546386693</v>
      </c>
      <c r="T16" s="4">
        <f t="shared" si="7"/>
        <v>35.660572610046358</v>
      </c>
      <c r="U16" s="4">
        <f t="shared" si="7"/>
        <v>36.552086925297516</v>
      </c>
      <c r="V16" s="4">
        <f t="shared" si="7"/>
        <v>37.465889098429948</v>
      </c>
      <c r="W16" s="4">
        <f t="shared" si="7"/>
        <v>38.402536325890694</v>
      </c>
      <c r="X16" s="4">
        <f t="shared" si="7"/>
        <v>39.362599734037957</v>
      </c>
      <c r="Y16" s="4">
        <f t="shared" si="7"/>
        <v>40.346664727388905</v>
      </c>
      <c r="Z16" s="4">
        <f t="shared" si="7"/>
        <v>41.355331345573624</v>
      </c>
      <c r="AA16" s="4">
        <f t="shared" si="7"/>
        <v>42.389214629212958</v>
      </c>
      <c r="AB16" s="4">
        <f t="shared" si="8"/>
        <v>43.448944994943275</v>
      </c>
      <c r="AC16" s="4">
        <f t="shared" si="8"/>
        <v>44.535168619816851</v>
      </c>
      <c r="AD16" s="4">
        <f t="shared" si="8"/>
        <v>45.648547835312272</v>
      </c>
      <c r="AE16" s="4">
        <f t="shared" si="8"/>
        <v>46.789761531195076</v>
      </c>
      <c r="AF16" s="4">
        <f t="shared" si="8"/>
        <v>47.959505569474949</v>
      </c>
      <c r="AG16" s="4">
        <f t="shared" si="8"/>
        <v>49.158493208711818</v>
      </c>
      <c r="AH16" s="4">
        <f t="shared" si="8"/>
        <v>50.387455538929608</v>
      </c>
    </row>
    <row r="17" spans="1:34" x14ac:dyDescent="0.25">
      <c r="A17" t="s">
        <v>6</v>
      </c>
      <c r="C17" s="34">
        <v>0</v>
      </c>
      <c r="D17" s="34">
        <v>0</v>
      </c>
      <c r="E17" s="34">
        <v>0</v>
      </c>
      <c r="F17" s="34">
        <v>0</v>
      </c>
      <c r="G17" s="34">
        <v>0</v>
      </c>
      <c r="H17" s="95">
        <v>0</v>
      </c>
      <c r="I17" s="3">
        <v>0</v>
      </c>
      <c r="J17" s="43">
        <v>0</v>
      </c>
      <c r="K17" s="43">
        <v>0</v>
      </c>
      <c r="L17" s="68">
        <v>0</v>
      </c>
      <c r="M17" s="24">
        <v>0</v>
      </c>
      <c r="N17" s="4">
        <v>0</v>
      </c>
      <c r="O17" s="4">
        <v>0</v>
      </c>
      <c r="P17" s="4">
        <v>0</v>
      </c>
      <c r="Q17" s="4">
        <v>0</v>
      </c>
      <c r="R17" s="4">
        <v>0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4">
        <v>0</v>
      </c>
      <c r="AA17" s="4">
        <v>0</v>
      </c>
      <c r="AB17" s="4">
        <v>0</v>
      </c>
      <c r="AC17" s="4">
        <v>0</v>
      </c>
      <c r="AD17" s="4">
        <v>0</v>
      </c>
      <c r="AE17" s="4">
        <v>0</v>
      </c>
      <c r="AF17" s="4">
        <v>0</v>
      </c>
      <c r="AG17" s="4">
        <v>0</v>
      </c>
      <c r="AH17" s="4">
        <v>0</v>
      </c>
    </row>
    <row r="18" spans="1:34" x14ac:dyDescent="0.25">
      <c r="A18" t="s">
        <v>12</v>
      </c>
      <c r="C18" s="3">
        <f>940-77-359</f>
        <v>504</v>
      </c>
      <c r="D18" s="3">
        <v>580</v>
      </c>
      <c r="E18" s="3">
        <v>672</v>
      </c>
      <c r="F18" s="52">
        <v>696</v>
      </c>
      <c r="G18" s="52">
        <v>717</v>
      </c>
      <c r="H18" s="8">
        <v>669</v>
      </c>
      <c r="I18" s="10">
        <v>592</v>
      </c>
      <c r="J18" s="10">
        <v>573</v>
      </c>
      <c r="K18" s="10">
        <v>544</v>
      </c>
      <c r="L18" s="72">
        <v>583</v>
      </c>
      <c r="M18" s="39">
        <f>747-6</f>
        <v>741</v>
      </c>
      <c r="N18" s="128">
        <v>700</v>
      </c>
      <c r="O18" s="10">
        <f t="shared" ref="O18:AH18" si="9">+N18*(1+O9)+O10</f>
        <v>717.49999999999989</v>
      </c>
      <c r="P18" s="10">
        <f t="shared" si="9"/>
        <v>735.43749999999977</v>
      </c>
      <c r="Q18" s="10">
        <f t="shared" si="9"/>
        <v>753.82343749999973</v>
      </c>
      <c r="R18" s="10">
        <f t="shared" si="9"/>
        <v>772.66902343749962</v>
      </c>
      <c r="S18" s="10">
        <f t="shared" si="9"/>
        <v>791.98574902343705</v>
      </c>
      <c r="T18" s="10">
        <f t="shared" si="9"/>
        <v>811.78539274902289</v>
      </c>
      <c r="U18" s="10">
        <f t="shared" si="9"/>
        <v>832.0800275677484</v>
      </c>
      <c r="V18" s="10">
        <f t="shared" si="9"/>
        <v>852.88202825694202</v>
      </c>
      <c r="W18" s="10">
        <f t="shared" si="9"/>
        <v>874.20407896336553</v>
      </c>
      <c r="X18" s="10">
        <f t="shared" si="9"/>
        <v>896.05918093744958</v>
      </c>
      <c r="Y18" s="10">
        <f t="shared" si="9"/>
        <v>918.46066046088572</v>
      </c>
      <c r="Z18" s="10">
        <f t="shared" si="9"/>
        <v>941.42217697240778</v>
      </c>
      <c r="AA18" s="10">
        <f t="shared" si="9"/>
        <v>964.95773139671792</v>
      </c>
      <c r="AB18" s="10">
        <f t="shared" si="9"/>
        <v>989.08167468163583</v>
      </c>
      <c r="AC18" s="10">
        <f t="shared" si="9"/>
        <v>1013.8087165486767</v>
      </c>
      <c r="AD18" s="10">
        <f t="shared" si="9"/>
        <v>1039.1539344623934</v>
      </c>
      <c r="AE18" s="10">
        <f t="shared" si="9"/>
        <v>1065.1327828239532</v>
      </c>
      <c r="AF18" s="10">
        <f t="shared" si="9"/>
        <v>1091.7611023945519</v>
      </c>
      <c r="AG18" s="10">
        <f t="shared" si="9"/>
        <v>1119.0551299544156</v>
      </c>
      <c r="AH18" s="10">
        <f t="shared" si="9"/>
        <v>1147.031508203276</v>
      </c>
    </row>
    <row r="19" spans="1:34" x14ac:dyDescent="0.25">
      <c r="A19" s="6" t="s">
        <v>43</v>
      </c>
      <c r="C19" s="13">
        <f>SUM(C14:C18)</f>
        <v>727</v>
      </c>
      <c r="D19" s="35">
        <f t="shared" ref="D19:AH19" si="10">SUM(D14:D18)</f>
        <v>855</v>
      </c>
      <c r="E19" s="35">
        <f t="shared" si="10"/>
        <v>994</v>
      </c>
      <c r="F19" s="35">
        <f t="shared" si="10"/>
        <v>1054</v>
      </c>
      <c r="G19" s="35">
        <f t="shared" si="10"/>
        <v>1125</v>
      </c>
      <c r="H19" s="35">
        <f t="shared" si="10"/>
        <v>1126</v>
      </c>
      <c r="I19" s="35">
        <f t="shared" si="10"/>
        <v>1116</v>
      </c>
      <c r="J19" s="35">
        <f t="shared" si="10"/>
        <v>1164</v>
      </c>
      <c r="K19" s="35">
        <f t="shared" si="10"/>
        <v>1180</v>
      </c>
      <c r="L19" s="74">
        <f t="shared" si="10"/>
        <v>1312</v>
      </c>
      <c r="M19" s="29">
        <f t="shared" si="10"/>
        <v>1524</v>
      </c>
      <c r="N19" s="13">
        <f t="shared" si="10"/>
        <v>1575.9580000000001</v>
      </c>
      <c r="O19" s="13">
        <f t="shared" si="10"/>
        <v>1684.2739099999999</v>
      </c>
      <c r="P19" s="13">
        <f t="shared" si="10"/>
        <v>1799.9382347500002</v>
      </c>
      <c r="Q19" s="13">
        <f t="shared" si="10"/>
        <v>1923.42644391875</v>
      </c>
      <c r="R19" s="13">
        <f t="shared" si="10"/>
        <v>2055.2434685542189</v>
      </c>
      <c r="S19" s="13">
        <f t="shared" si="10"/>
        <v>2195.9254656835742</v>
      </c>
      <c r="T19" s="13">
        <f t="shared" si="10"/>
        <v>2346.0416858981202</v>
      </c>
      <c r="U19" s="13">
        <f t="shared" si="10"/>
        <v>2506.1964498146426</v>
      </c>
      <c r="V19" s="13">
        <f t="shared" si="10"/>
        <v>2677.0312396364216</v>
      </c>
      <c r="W19" s="13">
        <f t="shared" si="10"/>
        <v>2859.2269123873994</v>
      </c>
      <c r="X19" s="13">
        <f t="shared" si="10"/>
        <v>3053.5060417627319</v>
      </c>
      <c r="Y19" s="13">
        <f t="shared" si="10"/>
        <v>3260.6353959291846</v>
      </c>
      <c r="Z19" s="13">
        <f t="shared" si="10"/>
        <v>3481.4285590207946</v>
      </c>
      <c r="AA19" s="13">
        <f t="shared" si="10"/>
        <v>3679.8975878107599</v>
      </c>
      <c r="AB19" s="13">
        <f t="shared" si="10"/>
        <v>3842.1351405272972</v>
      </c>
      <c r="AC19" s="13">
        <f t="shared" si="10"/>
        <v>3965.7164456877854</v>
      </c>
      <c r="AD19" s="13">
        <f t="shared" si="10"/>
        <v>4064.8593568299793</v>
      </c>
      <c r="AE19" s="13">
        <f t="shared" si="10"/>
        <v>4166.480840750728</v>
      </c>
      <c r="AF19" s="13">
        <f t="shared" si="10"/>
        <v>4194.2789043596076</v>
      </c>
      <c r="AG19" s="13">
        <f t="shared" si="10"/>
        <v>4222.7719195587079</v>
      </c>
      <c r="AH19" s="13">
        <f t="shared" si="10"/>
        <v>4251.9772601377863</v>
      </c>
    </row>
    <row r="20" spans="1:34" x14ac:dyDescent="0.25">
      <c r="A20" s="56" t="s">
        <v>53</v>
      </c>
      <c r="D20" s="55">
        <f>+D19/C19-1</f>
        <v>0.17606602475928468</v>
      </c>
      <c r="E20" s="55">
        <f t="shared" ref="E20:AH20" si="11">+E19/D19-1</f>
        <v>0.16257309941520459</v>
      </c>
      <c r="F20" s="55">
        <f t="shared" si="11"/>
        <v>6.0362173038229328E-2</v>
      </c>
      <c r="G20" s="55">
        <f t="shared" si="11"/>
        <v>6.7362428842504762E-2</v>
      </c>
      <c r="H20" s="55">
        <f t="shared" si="11"/>
        <v>8.8888888888893902E-4</v>
      </c>
      <c r="I20" s="55">
        <f t="shared" si="11"/>
        <v>-8.8809946714032417E-3</v>
      </c>
      <c r="J20" s="55">
        <f t="shared" si="11"/>
        <v>4.3010752688172005E-2</v>
      </c>
      <c r="K20" s="55">
        <f t="shared" si="11"/>
        <v>1.3745704467353903E-2</v>
      </c>
      <c r="L20" s="75">
        <f t="shared" si="11"/>
        <v>0.11186440677966103</v>
      </c>
      <c r="M20" s="57">
        <f t="shared" si="11"/>
        <v>0.16158536585365857</v>
      </c>
      <c r="N20" s="55">
        <f t="shared" si="11"/>
        <v>3.409317585301852E-2</v>
      </c>
      <c r="O20" s="55">
        <f t="shared" si="11"/>
        <v>6.8730200931750529E-2</v>
      </c>
      <c r="P20" s="55">
        <f t="shared" si="11"/>
        <v>6.8673108372260261E-2</v>
      </c>
      <c r="Q20" s="55">
        <f t="shared" si="11"/>
        <v>6.8606914828886589E-2</v>
      </c>
      <c r="R20" s="55">
        <f t="shared" si="11"/>
        <v>6.8532396989877897E-2</v>
      </c>
      <c r="S20" s="55">
        <f t="shared" si="11"/>
        <v>6.8450283035478732E-2</v>
      </c>
      <c r="T20" s="55">
        <f t="shared" si="11"/>
        <v>6.8361254769553792E-2</v>
      </c>
      <c r="U20" s="55">
        <f t="shared" si="11"/>
        <v>6.826594978222289E-2</v>
      </c>
      <c r="V20" s="55">
        <f t="shared" si="11"/>
        <v>6.8164963618240648E-2</v>
      </c>
      <c r="W20" s="55">
        <f t="shared" si="11"/>
        <v>6.8058851930216102E-2</v>
      </c>
      <c r="X20" s="55">
        <f t="shared" si="11"/>
        <v>6.794813259963095E-2</v>
      </c>
      <c r="Y20" s="55">
        <f t="shared" si="11"/>
        <v>6.7833287811960741E-2</v>
      </c>
      <c r="Z20" s="55">
        <f t="shared" si="11"/>
        <v>6.7714766075122723E-2</v>
      </c>
      <c r="AA20" s="55">
        <f t="shared" si="11"/>
        <v>5.7007928046005185E-2</v>
      </c>
      <c r="AB20" s="55">
        <f t="shared" si="11"/>
        <v>4.4087518428211236E-2</v>
      </c>
      <c r="AC20" s="55">
        <f t="shared" si="11"/>
        <v>3.2164747110776437E-2</v>
      </c>
      <c r="AD20" s="55">
        <f t="shared" si="11"/>
        <v>2.4999999999999911E-2</v>
      </c>
      <c r="AE20" s="55">
        <f t="shared" si="11"/>
        <v>2.4999999999999911E-2</v>
      </c>
      <c r="AF20" s="55">
        <f t="shared" si="11"/>
        <v>6.6718328179977693E-3</v>
      </c>
      <c r="AG20" s="55">
        <f t="shared" si="11"/>
        <v>6.7933048442447852E-3</v>
      </c>
      <c r="AH20" s="55">
        <f t="shared" si="11"/>
        <v>6.916153923399726E-3</v>
      </c>
    </row>
    <row r="21" spans="1:34" x14ac:dyDescent="0.25">
      <c r="A21" s="7" t="s">
        <v>44</v>
      </c>
      <c r="L21" s="65"/>
      <c r="M21" s="21"/>
    </row>
    <row r="22" spans="1:34" x14ac:dyDescent="0.25">
      <c r="A22" t="s">
        <v>75</v>
      </c>
      <c r="C22" s="8">
        <f>508-178+42</f>
        <v>372</v>
      </c>
      <c r="D22" s="8">
        <v>347</v>
      </c>
      <c r="E22" s="8">
        <f>563-229+46</f>
        <v>380</v>
      </c>
      <c r="F22" s="8">
        <f>589-252+43</f>
        <v>380</v>
      </c>
      <c r="G22" s="8">
        <f>45+565-207</f>
        <v>403</v>
      </c>
      <c r="H22" s="8">
        <f>598-221+48</f>
        <v>425</v>
      </c>
      <c r="I22" s="100">
        <f>440+51</f>
        <v>491</v>
      </c>
      <c r="J22" s="100">
        <f>405+49+4-19</f>
        <v>439</v>
      </c>
      <c r="K22" s="100">
        <f>341+38-2-22</f>
        <v>355</v>
      </c>
      <c r="L22" s="92">
        <f>380+71+3-28</f>
        <v>426</v>
      </c>
      <c r="M22" s="40">
        <f>342+101+10</f>
        <v>453</v>
      </c>
      <c r="N22" s="9">
        <f t="shared" ref="N22:AC23" si="12">+M22*(1+N$9)</f>
        <v>464.32499999999993</v>
      </c>
      <c r="O22" s="9">
        <f t="shared" si="12"/>
        <v>475.9331249999999</v>
      </c>
      <c r="P22" s="9">
        <f t="shared" si="12"/>
        <v>487.83145312499988</v>
      </c>
      <c r="Q22" s="9">
        <f t="shared" si="12"/>
        <v>500.02723945312482</v>
      </c>
      <c r="R22" s="9">
        <f t="shared" si="12"/>
        <v>512.52792043945294</v>
      </c>
      <c r="S22" s="9">
        <f t="shared" si="12"/>
        <v>525.34111845043924</v>
      </c>
      <c r="T22" s="9">
        <f t="shared" si="12"/>
        <v>538.47464641170018</v>
      </c>
      <c r="U22" s="9">
        <f t="shared" si="12"/>
        <v>551.93651257199258</v>
      </c>
      <c r="V22" s="9">
        <f t="shared" si="12"/>
        <v>565.73492538629239</v>
      </c>
      <c r="W22" s="9">
        <f t="shared" si="12"/>
        <v>579.87829852094967</v>
      </c>
      <c r="X22" s="9">
        <f t="shared" si="12"/>
        <v>594.37525598397337</v>
      </c>
      <c r="Y22" s="9">
        <f t="shared" si="12"/>
        <v>609.2346373835727</v>
      </c>
      <c r="Z22" s="9">
        <f t="shared" si="12"/>
        <v>624.46550331816195</v>
      </c>
      <c r="AA22" s="9">
        <f t="shared" si="12"/>
        <v>640.07714090111597</v>
      </c>
      <c r="AB22" s="9">
        <f t="shared" si="12"/>
        <v>656.07906942364377</v>
      </c>
      <c r="AC22" s="9">
        <f t="shared" si="12"/>
        <v>672.48104615923478</v>
      </c>
      <c r="AD22" s="9">
        <f t="shared" ref="AD22:AH23" si="13">+AC22*(1+AD$9)</f>
        <v>689.29307231321559</v>
      </c>
      <c r="AE22" s="9">
        <f t="shared" si="13"/>
        <v>706.52539912104589</v>
      </c>
      <c r="AF22" s="9">
        <f t="shared" si="13"/>
        <v>724.18853409907194</v>
      </c>
      <c r="AG22" s="9">
        <f t="shared" si="13"/>
        <v>742.29324745154872</v>
      </c>
      <c r="AH22" s="9">
        <f t="shared" si="13"/>
        <v>760.85057863783743</v>
      </c>
    </row>
    <row r="23" spans="1:34" x14ac:dyDescent="0.25">
      <c r="A23" t="s">
        <v>8</v>
      </c>
      <c r="C23" s="8">
        <v>772</v>
      </c>
      <c r="D23" s="8">
        <v>733</v>
      </c>
      <c r="E23" s="8">
        <v>698</v>
      </c>
      <c r="F23" s="8">
        <v>729</v>
      </c>
      <c r="G23" s="8">
        <v>748</v>
      </c>
      <c r="H23" s="8">
        <v>731</v>
      </c>
      <c r="I23" s="100">
        <v>723</v>
      </c>
      <c r="J23" s="100">
        <f>737-31</f>
        <v>706</v>
      </c>
      <c r="K23" s="100">
        <f>776-33</f>
        <v>743</v>
      </c>
      <c r="L23" s="92">
        <f>763-33</f>
        <v>730</v>
      </c>
      <c r="M23" s="40">
        <f>768+7</f>
        <v>775</v>
      </c>
      <c r="N23" s="9">
        <f t="shared" si="12"/>
        <v>794.37499999999989</v>
      </c>
      <c r="O23" s="9">
        <f t="shared" si="12"/>
        <v>814.23437499999977</v>
      </c>
      <c r="P23" s="9">
        <f t="shared" si="12"/>
        <v>834.59023437499968</v>
      </c>
      <c r="Q23" s="9">
        <f t="shared" si="12"/>
        <v>855.45499023437458</v>
      </c>
      <c r="R23" s="9">
        <f t="shared" si="12"/>
        <v>876.84136499023384</v>
      </c>
      <c r="S23" s="9">
        <f t="shared" si="12"/>
        <v>898.76239911498965</v>
      </c>
      <c r="T23" s="9">
        <f t="shared" si="12"/>
        <v>921.23145909286427</v>
      </c>
      <c r="U23" s="9">
        <f t="shared" si="12"/>
        <v>944.26224557018577</v>
      </c>
      <c r="V23" s="9">
        <f t="shared" si="12"/>
        <v>967.86880170944028</v>
      </c>
      <c r="W23" s="9">
        <f t="shared" si="12"/>
        <v>992.06552175217621</v>
      </c>
      <c r="X23" s="9">
        <f t="shared" si="12"/>
        <v>1016.8671597959806</v>
      </c>
      <c r="Y23" s="9">
        <f t="shared" si="12"/>
        <v>1042.2888387908799</v>
      </c>
      <c r="Z23" s="9">
        <f t="shared" si="12"/>
        <v>1068.3460597606518</v>
      </c>
      <c r="AA23" s="9">
        <f t="shared" si="12"/>
        <v>1095.0547112546681</v>
      </c>
      <c r="AB23" s="9">
        <f t="shared" si="12"/>
        <v>1122.4310790360346</v>
      </c>
      <c r="AC23" s="9">
        <f t="shared" si="12"/>
        <v>1150.4918560119354</v>
      </c>
      <c r="AD23" s="9">
        <f t="shared" si="13"/>
        <v>1179.2541524122337</v>
      </c>
      <c r="AE23" s="9">
        <f t="shared" si="13"/>
        <v>1208.7355062225395</v>
      </c>
      <c r="AF23" s="9">
        <f t="shared" si="13"/>
        <v>1238.9538938781029</v>
      </c>
      <c r="AG23" s="9">
        <f t="shared" si="13"/>
        <v>1269.9277412250553</v>
      </c>
      <c r="AH23" s="9">
        <f t="shared" si="13"/>
        <v>1301.6759347556815</v>
      </c>
    </row>
    <row r="24" spans="1:34" x14ac:dyDescent="0.25">
      <c r="A24" t="s">
        <v>30</v>
      </c>
      <c r="C24" s="8">
        <v>0</v>
      </c>
      <c r="D24" s="8">
        <v>0</v>
      </c>
      <c r="E24" s="8">
        <v>0</v>
      </c>
      <c r="F24" s="8">
        <v>0</v>
      </c>
      <c r="G24" s="8">
        <v>0</v>
      </c>
      <c r="H24" s="8">
        <v>0</v>
      </c>
      <c r="I24" s="100">
        <f t="shared" ref="I24:AH24" si="14">+H24*(1+I9)</f>
        <v>0</v>
      </c>
      <c r="J24" s="100">
        <f t="shared" si="14"/>
        <v>0</v>
      </c>
      <c r="K24" s="100">
        <f t="shared" si="14"/>
        <v>0</v>
      </c>
      <c r="L24" s="92">
        <f t="shared" si="14"/>
        <v>0</v>
      </c>
      <c r="M24" s="40">
        <f t="shared" si="14"/>
        <v>0</v>
      </c>
      <c r="N24" s="9">
        <f t="shared" si="14"/>
        <v>0</v>
      </c>
      <c r="O24" s="9">
        <f t="shared" si="14"/>
        <v>0</v>
      </c>
      <c r="P24" s="9">
        <f t="shared" si="14"/>
        <v>0</v>
      </c>
      <c r="Q24" s="9">
        <f t="shared" si="14"/>
        <v>0</v>
      </c>
      <c r="R24" s="9">
        <f t="shared" si="14"/>
        <v>0</v>
      </c>
      <c r="S24" s="9">
        <f t="shared" si="14"/>
        <v>0</v>
      </c>
      <c r="T24" s="9">
        <f t="shared" si="14"/>
        <v>0</v>
      </c>
      <c r="U24" s="9">
        <f t="shared" si="14"/>
        <v>0</v>
      </c>
      <c r="V24" s="9">
        <f t="shared" si="14"/>
        <v>0</v>
      </c>
      <c r="W24" s="9">
        <f t="shared" si="14"/>
        <v>0</v>
      </c>
      <c r="X24" s="9">
        <f t="shared" si="14"/>
        <v>0</v>
      </c>
      <c r="Y24" s="9">
        <f t="shared" si="14"/>
        <v>0</v>
      </c>
      <c r="Z24" s="9">
        <f t="shared" si="14"/>
        <v>0</v>
      </c>
      <c r="AA24" s="9">
        <f t="shared" si="14"/>
        <v>0</v>
      </c>
      <c r="AB24" s="9">
        <f t="shared" si="14"/>
        <v>0</v>
      </c>
      <c r="AC24" s="9">
        <f t="shared" si="14"/>
        <v>0</v>
      </c>
      <c r="AD24" s="9">
        <f t="shared" si="14"/>
        <v>0</v>
      </c>
      <c r="AE24" s="9">
        <f t="shared" si="14"/>
        <v>0</v>
      </c>
      <c r="AF24" s="9">
        <f t="shared" si="14"/>
        <v>0</v>
      </c>
      <c r="AG24" s="9">
        <f t="shared" si="14"/>
        <v>0</v>
      </c>
      <c r="AH24" s="9">
        <f t="shared" si="14"/>
        <v>0</v>
      </c>
    </row>
    <row r="25" spans="1:34" x14ac:dyDescent="0.25">
      <c r="A25" t="s">
        <v>9</v>
      </c>
      <c r="C25" s="8">
        <f>116+42-47</f>
        <v>111</v>
      </c>
      <c r="D25" s="8">
        <v>81</v>
      </c>
      <c r="E25" s="8">
        <f>98+46-57</f>
        <v>87</v>
      </c>
      <c r="F25" s="8">
        <f>111-13</f>
        <v>98</v>
      </c>
      <c r="G25" s="8">
        <f>118-3</f>
        <v>115</v>
      </c>
      <c r="H25" s="8">
        <v>111</v>
      </c>
      <c r="I25" s="100">
        <v>105</v>
      </c>
      <c r="J25" s="100">
        <v>120</v>
      </c>
      <c r="K25" s="100">
        <v>152</v>
      </c>
      <c r="L25" s="92">
        <v>114</v>
      </c>
      <c r="M25" s="40">
        <v>143</v>
      </c>
      <c r="N25" s="9">
        <f t="shared" ref="N25:AH25" si="15">+M25*(1+N$9)*1.03</f>
        <v>150.97225</v>
      </c>
      <c r="O25" s="9">
        <f t="shared" si="15"/>
        <v>159.38895293749999</v>
      </c>
      <c r="P25" s="9">
        <f t="shared" si="15"/>
        <v>168.27488706376562</v>
      </c>
      <c r="Q25" s="9">
        <f t="shared" si="15"/>
        <v>177.65621201757054</v>
      </c>
      <c r="R25" s="9">
        <f t="shared" si="15"/>
        <v>187.56054583755008</v>
      </c>
      <c r="S25" s="9">
        <f t="shared" si="15"/>
        <v>198.01704626799349</v>
      </c>
      <c r="T25" s="9">
        <f t="shared" si="15"/>
        <v>209.05649659743412</v>
      </c>
      <c r="U25" s="9">
        <f t="shared" si="15"/>
        <v>220.71139628274105</v>
      </c>
      <c r="V25" s="9">
        <f t="shared" si="15"/>
        <v>233.01605662550386</v>
      </c>
      <c r="W25" s="9">
        <f t="shared" si="15"/>
        <v>246.0067017823757</v>
      </c>
      <c r="X25" s="9">
        <f t="shared" si="15"/>
        <v>259.72157540674311</v>
      </c>
      <c r="Y25" s="9">
        <f t="shared" si="15"/>
        <v>274.20105323566906</v>
      </c>
      <c r="Z25" s="9">
        <f t="shared" si="15"/>
        <v>289.48776195355759</v>
      </c>
      <c r="AA25" s="9">
        <f t="shared" si="15"/>
        <v>305.62670468246836</v>
      </c>
      <c r="AB25" s="9">
        <f t="shared" si="15"/>
        <v>322.66539346851596</v>
      </c>
      <c r="AC25" s="9">
        <f t="shared" si="15"/>
        <v>340.65398915438567</v>
      </c>
      <c r="AD25" s="9">
        <f t="shared" si="15"/>
        <v>359.64544904974264</v>
      </c>
      <c r="AE25" s="9">
        <f t="shared" si="15"/>
        <v>379.69568283426577</v>
      </c>
      <c r="AF25" s="9">
        <f t="shared" si="15"/>
        <v>400.86371715227608</v>
      </c>
      <c r="AG25" s="9">
        <f t="shared" si="15"/>
        <v>423.21186938351542</v>
      </c>
      <c r="AH25" s="9">
        <f t="shared" si="15"/>
        <v>446.80593110164642</v>
      </c>
    </row>
    <row r="26" spans="1:34" x14ac:dyDescent="0.25">
      <c r="A26" t="s">
        <v>10</v>
      </c>
      <c r="C26" s="8">
        <v>22</v>
      </c>
      <c r="D26" s="8">
        <v>14</v>
      </c>
      <c r="E26" s="8">
        <v>31</v>
      </c>
      <c r="F26" s="8">
        <v>15</v>
      </c>
      <c r="G26" s="8">
        <v>18</v>
      </c>
      <c r="H26" s="8">
        <v>10</v>
      </c>
      <c r="I26" s="8">
        <v>30</v>
      </c>
      <c r="J26" s="8">
        <v>38</v>
      </c>
      <c r="K26" s="100">
        <v>31</v>
      </c>
      <c r="L26" s="92">
        <v>40</v>
      </c>
      <c r="M26" s="40">
        <v>-2</v>
      </c>
      <c r="N26" s="127">
        <v>30</v>
      </c>
      <c r="O26" s="9">
        <f t="shared" ref="O26:AH29" si="16">+N26*(1+O$9)</f>
        <v>30.749999999999996</v>
      </c>
      <c r="P26" s="9">
        <f t="shared" si="16"/>
        <v>31.518749999999994</v>
      </c>
      <c r="Q26" s="9">
        <f t="shared" si="16"/>
        <v>32.306718749999987</v>
      </c>
      <c r="R26" s="9">
        <f t="shared" si="16"/>
        <v>33.114386718749984</v>
      </c>
      <c r="S26" s="9">
        <f t="shared" si="16"/>
        <v>33.942246386718729</v>
      </c>
      <c r="T26" s="9">
        <f t="shared" si="16"/>
        <v>34.790802546386693</v>
      </c>
      <c r="U26" s="9">
        <f t="shared" si="16"/>
        <v>35.660572610046358</v>
      </c>
      <c r="V26" s="9">
        <f t="shared" si="16"/>
        <v>36.552086925297516</v>
      </c>
      <c r="W26" s="9">
        <f t="shared" si="16"/>
        <v>37.465889098429948</v>
      </c>
      <c r="X26" s="9">
        <f t="shared" si="16"/>
        <v>38.402536325890694</v>
      </c>
      <c r="Y26" s="9">
        <f t="shared" si="16"/>
        <v>39.362599734037957</v>
      </c>
      <c r="Z26" s="9">
        <f t="shared" si="16"/>
        <v>40.346664727388905</v>
      </c>
      <c r="AA26" s="9">
        <f t="shared" si="16"/>
        <v>41.355331345573624</v>
      </c>
      <c r="AB26" s="9">
        <f t="shared" si="16"/>
        <v>42.389214629212958</v>
      </c>
      <c r="AC26" s="9">
        <f t="shared" si="16"/>
        <v>43.448944994943275</v>
      </c>
      <c r="AD26" s="9">
        <f t="shared" si="16"/>
        <v>44.535168619816851</v>
      </c>
      <c r="AE26" s="9">
        <f t="shared" si="16"/>
        <v>45.648547835312272</v>
      </c>
      <c r="AF26" s="9">
        <f t="shared" si="16"/>
        <v>46.789761531195076</v>
      </c>
      <c r="AG26" s="9">
        <f t="shared" si="16"/>
        <v>47.959505569474949</v>
      </c>
      <c r="AH26" s="9">
        <f t="shared" si="16"/>
        <v>49.158493208711818</v>
      </c>
    </row>
    <row r="27" spans="1:34" x14ac:dyDescent="0.25">
      <c r="A27" t="s">
        <v>11</v>
      </c>
      <c r="C27" s="8">
        <f>15-9</f>
        <v>6</v>
      </c>
      <c r="D27" s="8">
        <v>4</v>
      </c>
      <c r="E27" s="8">
        <v>8</v>
      </c>
      <c r="F27" s="8">
        <v>8</v>
      </c>
      <c r="G27" s="8">
        <v>13</v>
      </c>
      <c r="H27" s="8">
        <v>11</v>
      </c>
      <c r="I27" s="100">
        <v>19</v>
      </c>
      <c r="J27" s="100">
        <v>13</v>
      </c>
      <c r="K27" s="100">
        <v>11</v>
      </c>
      <c r="L27" s="92">
        <v>15</v>
      </c>
      <c r="M27" s="40">
        <v>41</v>
      </c>
      <c r="N27" s="127">
        <v>25</v>
      </c>
      <c r="O27" s="9">
        <f t="shared" si="16"/>
        <v>25.624999999999996</v>
      </c>
      <c r="P27" s="9">
        <f t="shared" si="16"/>
        <v>26.265624999999993</v>
      </c>
      <c r="Q27" s="9">
        <f t="shared" si="16"/>
        <v>26.922265624999991</v>
      </c>
      <c r="R27" s="9">
        <f t="shared" si="16"/>
        <v>27.59532226562499</v>
      </c>
      <c r="S27" s="9">
        <f t="shared" si="16"/>
        <v>28.285205322265611</v>
      </c>
      <c r="T27" s="9">
        <f t="shared" si="16"/>
        <v>28.992335455322248</v>
      </c>
      <c r="U27" s="9">
        <f t="shared" si="16"/>
        <v>29.717143841705301</v>
      </c>
      <c r="V27" s="9">
        <f t="shared" si="16"/>
        <v>30.460072437747932</v>
      </c>
      <c r="W27" s="9">
        <f t="shared" si="16"/>
        <v>31.221574248691628</v>
      </c>
      <c r="X27" s="9">
        <f t="shared" si="16"/>
        <v>32.002113604908914</v>
      </c>
      <c r="Y27" s="9">
        <f t="shared" si="16"/>
        <v>32.802166445031631</v>
      </c>
      <c r="Z27" s="9">
        <f t="shared" si="16"/>
        <v>33.62222060615742</v>
      </c>
      <c r="AA27" s="9">
        <f t="shared" si="16"/>
        <v>34.46277612131135</v>
      </c>
      <c r="AB27" s="9">
        <f t="shared" si="16"/>
        <v>35.324345524344132</v>
      </c>
      <c r="AC27" s="9">
        <f t="shared" si="16"/>
        <v>36.207454162452734</v>
      </c>
      <c r="AD27" s="9">
        <f t="shared" si="16"/>
        <v>37.112640516514048</v>
      </c>
      <c r="AE27" s="9">
        <f t="shared" si="16"/>
        <v>38.040456529426898</v>
      </c>
      <c r="AF27" s="9">
        <f t="shared" si="16"/>
        <v>38.991467942662567</v>
      </c>
      <c r="AG27" s="9">
        <f t="shared" si="16"/>
        <v>39.966254641229128</v>
      </c>
      <c r="AH27" s="9">
        <f t="shared" si="16"/>
        <v>40.965411007259853</v>
      </c>
    </row>
    <row r="28" spans="1:34" x14ac:dyDescent="0.25">
      <c r="A28" t="s">
        <v>13</v>
      </c>
      <c r="C28" s="8">
        <v>32</v>
      </c>
      <c r="D28" s="8">
        <v>29</v>
      </c>
      <c r="E28" s="8">
        <v>30</v>
      </c>
      <c r="F28" s="8">
        <v>30</v>
      </c>
      <c r="G28" s="8">
        <v>20</v>
      </c>
      <c r="H28" s="8">
        <v>22</v>
      </c>
      <c r="I28" s="100">
        <v>22</v>
      </c>
      <c r="J28" s="100">
        <v>19</v>
      </c>
      <c r="K28" s="100">
        <v>22</v>
      </c>
      <c r="L28" s="92">
        <v>28</v>
      </c>
      <c r="M28" s="40">
        <v>25</v>
      </c>
      <c r="N28" s="9">
        <f t="shared" ref="N28:AC29" si="17">+M28*(1+N$9)</f>
        <v>25.624999999999996</v>
      </c>
      <c r="O28" s="9">
        <f t="shared" si="17"/>
        <v>26.265624999999993</v>
      </c>
      <c r="P28" s="9">
        <f t="shared" si="17"/>
        <v>26.922265624999991</v>
      </c>
      <c r="Q28" s="9">
        <f t="shared" si="17"/>
        <v>27.59532226562499</v>
      </c>
      <c r="R28" s="9">
        <f t="shared" si="17"/>
        <v>28.285205322265611</v>
      </c>
      <c r="S28" s="9">
        <f t="shared" si="17"/>
        <v>28.992335455322248</v>
      </c>
      <c r="T28" s="9">
        <f t="shared" si="17"/>
        <v>29.717143841705301</v>
      </c>
      <c r="U28" s="9">
        <f t="shared" si="17"/>
        <v>30.460072437747932</v>
      </c>
      <c r="V28" s="9">
        <f t="shared" si="17"/>
        <v>31.221574248691628</v>
      </c>
      <c r="W28" s="9">
        <f t="shared" si="17"/>
        <v>32.002113604908914</v>
      </c>
      <c r="X28" s="9">
        <f t="shared" si="17"/>
        <v>32.802166445031631</v>
      </c>
      <c r="Y28" s="9">
        <f t="shared" si="17"/>
        <v>33.62222060615742</v>
      </c>
      <c r="Z28" s="9">
        <f t="shared" si="17"/>
        <v>34.46277612131135</v>
      </c>
      <c r="AA28" s="9">
        <f t="shared" si="17"/>
        <v>35.324345524344132</v>
      </c>
      <c r="AB28" s="9">
        <f t="shared" si="16"/>
        <v>36.207454162452734</v>
      </c>
      <c r="AC28" s="9">
        <f t="shared" si="16"/>
        <v>37.112640516514048</v>
      </c>
      <c r="AD28" s="9">
        <f t="shared" si="16"/>
        <v>38.040456529426898</v>
      </c>
      <c r="AE28" s="9">
        <f t="shared" si="16"/>
        <v>38.991467942662567</v>
      </c>
      <c r="AF28" s="9">
        <f t="shared" si="16"/>
        <v>39.966254641229128</v>
      </c>
      <c r="AG28" s="9">
        <f t="shared" si="16"/>
        <v>40.965411007259853</v>
      </c>
      <c r="AH28" s="9">
        <f t="shared" si="16"/>
        <v>41.989546282441346</v>
      </c>
    </row>
    <row r="29" spans="1:34" x14ac:dyDescent="0.25">
      <c r="A29" t="s">
        <v>14</v>
      </c>
      <c r="C29" s="8">
        <v>42</v>
      </c>
      <c r="D29" s="8">
        <v>46</v>
      </c>
      <c r="E29" s="8">
        <v>45</v>
      </c>
      <c r="F29" s="8">
        <v>50</v>
      </c>
      <c r="G29" s="8">
        <v>42</v>
      </c>
      <c r="H29" s="8">
        <v>39</v>
      </c>
      <c r="I29" s="100">
        <v>31</v>
      </c>
      <c r="J29" s="100">
        <v>31</v>
      </c>
      <c r="K29" s="100">
        <v>33</v>
      </c>
      <c r="L29" s="92">
        <v>33</v>
      </c>
      <c r="M29" s="40">
        <v>30</v>
      </c>
      <c r="N29" s="9">
        <f t="shared" si="17"/>
        <v>30.749999999999996</v>
      </c>
      <c r="O29" s="9">
        <f t="shared" si="17"/>
        <v>31.518749999999994</v>
      </c>
      <c r="P29" s="9">
        <f t="shared" si="17"/>
        <v>32.306718749999987</v>
      </c>
      <c r="Q29" s="9">
        <f t="shared" si="17"/>
        <v>33.114386718749984</v>
      </c>
      <c r="R29" s="9">
        <f t="shared" si="17"/>
        <v>33.942246386718729</v>
      </c>
      <c r="S29" s="9">
        <f t="shared" si="17"/>
        <v>34.790802546386693</v>
      </c>
      <c r="T29" s="9">
        <f t="shared" si="17"/>
        <v>35.660572610046358</v>
      </c>
      <c r="U29" s="9">
        <f t="shared" si="17"/>
        <v>36.552086925297516</v>
      </c>
      <c r="V29" s="9">
        <f t="shared" si="17"/>
        <v>37.465889098429948</v>
      </c>
      <c r="W29" s="9">
        <f t="shared" si="17"/>
        <v>38.402536325890694</v>
      </c>
      <c r="X29" s="9">
        <f t="shared" si="17"/>
        <v>39.362599734037957</v>
      </c>
      <c r="Y29" s="9">
        <f t="shared" si="17"/>
        <v>40.346664727388905</v>
      </c>
      <c r="Z29" s="9">
        <f t="shared" si="17"/>
        <v>41.355331345573624</v>
      </c>
      <c r="AA29" s="9">
        <f t="shared" si="17"/>
        <v>42.389214629212958</v>
      </c>
      <c r="AB29" s="9">
        <f t="shared" si="17"/>
        <v>43.448944994943275</v>
      </c>
      <c r="AC29" s="9">
        <f t="shared" si="17"/>
        <v>44.535168619816851</v>
      </c>
      <c r="AD29" s="9">
        <f t="shared" si="16"/>
        <v>45.648547835312272</v>
      </c>
      <c r="AE29" s="9">
        <f t="shared" si="16"/>
        <v>46.789761531195076</v>
      </c>
      <c r="AF29" s="9">
        <f t="shared" si="16"/>
        <v>47.959505569474949</v>
      </c>
      <c r="AG29" s="9">
        <f t="shared" si="16"/>
        <v>49.158493208711818</v>
      </c>
      <c r="AH29" s="9">
        <f t="shared" si="16"/>
        <v>50.387455538929608</v>
      </c>
    </row>
    <row r="30" spans="1:34" s="6" customFormat="1" x14ac:dyDescent="0.25">
      <c r="A30" s="6" t="s">
        <v>45</v>
      </c>
      <c r="C30" s="12">
        <f t="shared" ref="C30:X30" si="18">SUM(C22:C29)</f>
        <v>1357</v>
      </c>
      <c r="D30" s="12">
        <f t="shared" si="18"/>
        <v>1254</v>
      </c>
      <c r="E30" s="12">
        <f t="shared" si="18"/>
        <v>1279</v>
      </c>
      <c r="F30" s="12">
        <f t="shared" si="18"/>
        <v>1310</v>
      </c>
      <c r="G30" s="12">
        <f t="shared" si="18"/>
        <v>1359</v>
      </c>
      <c r="H30" s="12">
        <f t="shared" si="18"/>
        <v>1349</v>
      </c>
      <c r="I30" s="12">
        <f t="shared" si="18"/>
        <v>1421</v>
      </c>
      <c r="J30" s="12">
        <f t="shared" si="18"/>
        <v>1366</v>
      </c>
      <c r="K30" s="12">
        <f t="shared" si="18"/>
        <v>1347</v>
      </c>
      <c r="L30" s="77">
        <f t="shared" si="18"/>
        <v>1386</v>
      </c>
      <c r="M30" s="31">
        <f t="shared" si="18"/>
        <v>1465</v>
      </c>
      <c r="N30" s="12">
        <f t="shared" si="18"/>
        <v>1521.0472499999998</v>
      </c>
      <c r="O30" s="12">
        <f t="shared" si="18"/>
        <v>1563.7158279374996</v>
      </c>
      <c r="P30" s="12">
        <f t="shared" si="18"/>
        <v>1607.7099339387651</v>
      </c>
      <c r="Q30" s="12">
        <f t="shared" si="18"/>
        <v>1653.0771350644452</v>
      </c>
      <c r="R30" s="12">
        <f t="shared" si="18"/>
        <v>1699.8669919605966</v>
      </c>
      <c r="S30" s="12">
        <f t="shared" si="18"/>
        <v>1748.1311535441157</v>
      </c>
      <c r="T30" s="12">
        <f t="shared" si="18"/>
        <v>1797.9234565554591</v>
      </c>
      <c r="U30" s="12">
        <f t="shared" si="18"/>
        <v>1849.3000302397165</v>
      </c>
      <c r="V30" s="12">
        <f t="shared" si="18"/>
        <v>1902.3194064314034</v>
      </c>
      <c r="W30" s="12">
        <f t="shared" si="18"/>
        <v>1957.0426353334228</v>
      </c>
      <c r="X30" s="12">
        <f t="shared" si="18"/>
        <v>2013.5334072965663</v>
      </c>
      <c r="Y30" s="12">
        <f t="shared" ref="Y30:AH30" si="19">SUM(Y22:Y29)</f>
        <v>2071.8581809227376</v>
      </c>
      <c r="Z30" s="12">
        <f t="shared" si="19"/>
        <v>2132.0863178328027</v>
      </c>
      <c r="AA30" s="12">
        <f t="shared" si="19"/>
        <v>2194.2902244586944</v>
      </c>
      <c r="AB30" s="12">
        <f t="shared" si="19"/>
        <v>2258.5455012391476</v>
      </c>
      <c r="AC30" s="12">
        <f t="shared" si="19"/>
        <v>2324.931099619283</v>
      </c>
      <c r="AD30" s="12">
        <f t="shared" si="19"/>
        <v>2393.5294872762624</v>
      </c>
      <c r="AE30" s="12">
        <f t="shared" si="19"/>
        <v>2464.4268220164481</v>
      </c>
      <c r="AF30" s="12">
        <f t="shared" si="19"/>
        <v>2537.7131348140124</v>
      </c>
      <c r="AG30" s="12">
        <f t="shared" si="19"/>
        <v>2613.482522486795</v>
      </c>
      <c r="AH30" s="12">
        <f t="shared" si="19"/>
        <v>2691.8333505325081</v>
      </c>
    </row>
    <row r="31" spans="1:34" x14ac:dyDescent="0.25">
      <c r="A31" s="56" t="s">
        <v>53</v>
      </c>
      <c r="D31" s="55">
        <f>+D30/C30-1</f>
        <v>-7.5902726602800286E-2</v>
      </c>
      <c r="E31" s="55">
        <f t="shared" ref="E31:AH31" si="20">+E30/D30-1</f>
        <v>1.9936204146730363E-2</v>
      </c>
      <c r="F31" s="55">
        <f t="shared" si="20"/>
        <v>2.4237685691946842E-2</v>
      </c>
      <c r="G31" s="55">
        <f t="shared" si="20"/>
        <v>3.7404580152671674E-2</v>
      </c>
      <c r="H31" s="55">
        <f t="shared" si="20"/>
        <v>-7.3583517292126199E-3</v>
      </c>
      <c r="I31" s="55">
        <f t="shared" si="20"/>
        <v>5.3372868791697448E-2</v>
      </c>
      <c r="J31" s="55">
        <f t="shared" si="20"/>
        <v>-3.8705137227304731E-2</v>
      </c>
      <c r="K31" s="55">
        <f t="shared" si="20"/>
        <v>-1.3909224011713017E-2</v>
      </c>
      <c r="L31" s="75">
        <f t="shared" si="20"/>
        <v>2.8953229398663627E-2</v>
      </c>
      <c r="M31" s="57">
        <f t="shared" si="20"/>
        <v>5.6998556998556937E-2</v>
      </c>
      <c r="N31" s="55">
        <f t="shared" si="20"/>
        <v>3.8257508532423046E-2</v>
      </c>
      <c r="O31" s="55">
        <f t="shared" si="20"/>
        <v>2.8052105506584324E-2</v>
      </c>
      <c r="P31" s="55">
        <f t="shared" si="20"/>
        <v>2.8134335673568378E-2</v>
      </c>
      <c r="Q31" s="55">
        <f t="shared" si="20"/>
        <v>2.8218523856809119E-2</v>
      </c>
      <c r="R31" s="55">
        <f t="shared" si="20"/>
        <v>2.8304702729027298E-2</v>
      </c>
      <c r="S31" s="55">
        <f t="shared" si="20"/>
        <v>2.8392904745948355E-2</v>
      </c>
      <c r="T31" s="55">
        <f t="shared" si="20"/>
        <v>2.8483162095930714E-2</v>
      </c>
      <c r="U31" s="55">
        <f t="shared" si="20"/>
        <v>2.8575506647366966E-2</v>
      </c>
      <c r="V31" s="55">
        <f t="shared" si="20"/>
        <v>2.8669969893859948E-2</v>
      </c>
      <c r="W31" s="55">
        <f t="shared" si="20"/>
        <v>2.8766582897177928E-2</v>
      </c>
      <c r="X31" s="55">
        <f t="shared" si="20"/>
        <v>2.8865376228004003E-2</v>
      </c>
      <c r="Y31" s="55">
        <f t="shared" si="20"/>
        <v>2.8966379904508122E-2</v>
      </c>
      <c r="Z31" s="55">
        <f t="shared" si="20"/>
        <v>2.9069623328775052E-2</v>
      </c>
      <c r="AA31" s="55">
        <f t="shared" si="20"/>
        <v>2.9175135221129356E-2</v>
      </c>
      <c r="AB31" s="55">
        <f t="shared" si="20"/>
        <v>2.9282943552421115E-2</v>
      </c>
      <c r="AC31" s="55">
        <f t="shared" si="20"/>
        <v>2.939307547433212E-2</v>
      </c>
      <c r="AD31" s="55">
        <f t="shared" si="20"/>
        <v>2.9505557247788028E-2</v>
      </c>
      <c r="AE31" s="55">
        <f t="shared" si="20"/>
        <v>2.9620414169563514E-2</v>
      </c>
      <c r="AF31" s="55">
        <f t="shared" si="20"/>
        <v>2.9737670497190782E-2</v>
      </c>
      <c r="AG31" s="55">
        <f t="shared" si="20"/>
        <v>2.9857349372286679E-2</v>
      </c>
      <c r="AH31" s="55">
        <f t="shared" si="20"/>
        <v>2.9979472742431179E-2</v>
      </c>
    </row>
    <row r="32" spans="1:34" x14ac:dyDescent="0.25">
      <c r="A32" s="42" t="s">
        <v>47</v>
      </c>
      <c r="C32" s="8">
        <v>21</v>
      </c>
      <c r="D32" s="8">
        <v>0</v>
      </c>
      <c r="E32" s="8">
        <v>0</v>
      </c>
      <c r="F32" s="2">
        <v>0</v>
      </c>
      <c r="G32">
        <v>0</v>
      </c>
      <c r="H32">
        <v>0</v>
      </c>
      <c r="I32">
        <v>0</v>
      </c>
      <c r="J32">
        <v>0</v>
      </c>
      <c r="K32">
        <v>0</v>
      </c>
      <c r="L32" s="65">
        <v>0</v>
      </c>
      <c r="M32" s="21">
        <v>0</v>
      </c>
    </row>
    <row r="33" spans="1:34" x14ac:dyDescent="0.25">
      <c r="A33" s="56"/>
      <c r="D33" s="55"/>
      <c r="E33" s="55"/>
      <c r="F33" s="55"/>
      <c r="G33" s="55"/>
      <c r="H33" s="55"/>
      <c r="I33" s="55"/>
      <c r="J33" s="55"/>
      <c r="K33" s="55"/>
      <c r="L33" s="75"/>
      <c r="M33" s="57"/>
      <c r="N33" s="55"/>
      <c r="O33" s="55"/>
      <c r="P33" s="55"/>
      <c r="Q33" s="55"/>
      <c r="R33" s="55"/>
      <c r="S33" s="55"/>
      <c r="T33" s="55"/>
      <c r="U33" s="55"/>
      <c r="V33" s="55"/>
      <c r="W33" s="55"/>
      <c r="X33" s="55"/>
      <c r="Y33" s="55"/>
      <c r="Z33" s="55"/>
      <c r="AA33" s="55"/>
      <c r="AB33" s="55"/>
      <c r="AC33" s="55"/>
      <c r="AD33" s="55"/>
      <c r="AE33" s="55"/>
      <c r="AF33" s="55"/>
      <c r="AG33" s="55"/>
      <c r="AH33" s="55"/>
    </row>
    <row r="34" spans="1:34" x14ac:dyDescent="0.25">
      <c r="A34" s="81" t="s">
        <v>59</v>
      </c>
      <c r="B34" s="82"/>
      <c r="C34" s="83">
        <f t="shared" ref="C34:AH34" si="21">+C19-C30+C32</f>
        <v>-609</v>
      </c>
      <c r="D34" s="83">
        <f t="shared" si="21"/>
        <v>-399</v>
      </c>
      <c r="E34" s="83">
        <f t="shared" si="21"/>
        <v>-285</v>
      </c>
      <c r="F34" s="83">
        <f t="shared" si="21"/>
        <v>-256</v>
      </c>
      <c r="G34" s="83">
        <f t="shared" si="21"/>
        <v>-234</v>
      </c>
      <c r="H34" s="83">
        <f t="shared" si="21"/>
        <v>-223</v>
      </c>
      <c r="I34" s="83">
        <f t="shared" si="21"/>
        <v>-305</v>
      </c>
      <c r="J34" s="83">
        <f t="shared" si="21"/>
        <v>-202</v>
      </c>
      <c r="K34" s="83">
        <f t="shared" si="21"/>
        <v>-167</v>
      </c>
      <c r="L34" s="84">
        <f t="shared" si="21"/>
        <v>-74</v>
      </c>
      <c r="M34" s="85">
        <f t="shared" si="21"/>
        <v>59</v>
      </c>
      <c r="N34" s="83">
        <f t="shared" si="21"/>
        <v>54.910750000000235</v>
      </c>
      <c r="O34" s="83">
        <f t="shared" si="21"/>
        <v>120.55808206250026</v>
      </c>
      <c r="P34" s="83">
        <f t="shared" si="21"/>
        <v>192.22830081123516</v>
      </c>
      <c r="Q34" s="83">
        <f t="shared" si="21"/>
        <v>270.34930885430481</v>
      </c>
      <c r="R34" s="83">
        <f t="shared" si="21"/>
        <v>355.37647659362233</v>
      </c>
      <c r="S34" s="83">
        <f t="shared" si="21"/>
        <v>447.7943121394585</v>
      </c>
      <c r="T34" s="83">
        <f t="shared" si="21"/>
        <v>548.11822934266115</v>
      </c>
      <c r="U34" s="83">
        <f t="shared" si="21"/>
        <v>656.89641957492609</v>
      </c>
      <c r="V34" s="83">
        <f t="shared" si="21"/>
        <v>774.71183320501814</v>
      </c>
      <c r="W34" s="83">
        <f t="shared" si="21"/>
        <v>902.18427705397653</v>
      </c>
      <c r="X34" s="83">
        <f t="shared" si="21"/>
        <v>1039.9726344661656</v>
      </c>
      <c r="Y34" s="83">
        <f t="shared" si="21"/>
        <v>1188.777215006447</v>
      </c>
      <c r="Z34" s="83">
        <f t="shared" si="21"/>
        <v>1349.3422411879919</v>
      </c>
      <c r="AA34" s="83">
        <f t="shared" si="21"/>
        <v>1485.6073633520655</v>
      </c>
      <c r="AB34" s="83">
        <f t="shared" si="21"/>
        <v>1583.5896392881496</v>
      </c>
      <c r="AC34" s="83">
        <f t="shared" si="21"/>
        <v>1640.7853460685023</v>
      </c>
      <c r="AD34" s="83">
        <f t="shared" si="21"/>
        <v>1671.3298695537169</v>
      </c>
      <c r="AE34" s="83">
        <f t="shared" si="21"/>
        <v>1702.0540187342799</v>
      </c>
      <c r="AF34" s="83">
        <f t="shared" si="21"/>
        <v>1656.5657695455952</v>
      </c>
      <c r="AG34" s="83">
        <f t="shared" si="21"/>
        <v>1609.2893970719128</v>
      </c>
      <c r="AH34" s="83">
        <f t="shared" si="21"/>
        <v>1560.1439096052782</v>
      </c>
    </row>
    <row r="35" spans="1:34" x14ac:dyDescent="0.25">
      <c r="A35" s="56"/>
      <c r="D35" s="55"/>
      <c r="E35" s="55"/>
      <c r="F35" s="55"/>
      <c r="G35" s="55"/>
      <c r="H35" s="55"/>
      <c r="I35" s="55"/>
      <c r="J35" s="55"/>
      <c r="K35" s="55"/>
      <c r="L35" s="75"/>
      <c r="M35" s="57"/>
      <c r="N35" s="55"/>
      <c r="O35" s="55"/>
      <c r="P35" s="55"/>
      <c r="Q35" s="55"/>
      <c r="R35" s="55"/>
      <c r="S35" s="55"/>
      <c r="T35" s="55"/>
      <c r="U35" s="55"/>
      <c r="V35" s="55"/>
      <c r="W35" s="55"/>
      <c r="X35" s="55"/>
      <c r="Y35" s="55"/>
      <c r="Z35" s="55"/>
      <c r="AA35" s="55"/>
      <c r="AB35" s="55"/>
      <c r="AC35" s="55"/>
      <c r="AD35" s="55"/>
      <c r="AE35" s="55"/>
      <c r="AF35" s="55"/>
      <c r="AG35" s="55"/>
      <c r="AH35" s="55"/>
    </row>
    <row r="36" spans="1:34" x14ac:dyDescent="0.25">
      <c r="A36" t="s">
        <v>23</v>
      </c>
      <c r="C36" s="8">
        <v>-5</v>
      </c>
      <c r="D36" s="8">
        <v>-3</v>
      </c>
      <c r="E36" s="8">
        <v>-35</v>
      </c>
      <c r="F36" s="8">
        <v>-5</v>
      </c>
      <c r="G36" s="63">
        <v>-4</v>
      </c>
      <c r="H36" s="63">
        <v>-16</v>
      </c>
      <c r="I36" s="63">
        <v>-17</v>
      </c>
      <c r="J36" s="116">
        <v>-3</v>
      </c>
      <c r="K36" s="63">
        <v>0</v>
      </c>
      <c r="L36" s="76">
        <v>-27</v>
      </c>
      <c r="M36" s="41">
        <v>0</v>
      </c>
      <c r="N36" s="15">
        <v>-15</v>
      </c>
      <c r="O36" s="15">
        <v>-15</v>
      </c>
      <c r="P36" s="15">
        <v>-15</v>
      </c>
      <c r="Q36" s="15">
        <v>-15</v>
      </c>
      <c r="R36" s="15">
        <v>-15</v>
      </c>
      <c r="S36" s="15">
        <v>-15</v>
      </c>
      <c r="T36" s="15">
        <v>-15</v>
      </c>
      <c r="U36" s="15">
        <v>-15</v>
      </c>
      <c r="V36" s="15">
        <v>-15</v>
      </c>
      <c r="W36" s="15">
        <v>-15</v>
      </c>
      <c r="X36" s="15">
        <v>-15</v>
      </c>
      <c r="Y36" s="15">
        <v>-15</v>
      </c>
      <c r="Z36" s="15">
        <v>-15</v>
      </c>
      <c r="AA36" s="15">
        <v>-15</v>
      </c>
      <c r="AB36" s="15">
        <v>-15</v>
      </c>
      <c r="AC36" s="15">
        <v>-15</v>
      </c>
      <c r="AD36" s="15">
        <v>-15</v>
      </c>
      <c r="AE36" s="15">
        <v>-15</v>
      </c>
      <c r="AF36" s="15">
        <v>-15</v>
      </c>
      <c r="AG36" s="15">
        <v>-15</v>
      </c>
      <c r="AH36" s="15">
        <v>-15</v>
      </c>
    </row>
    <row r="37" spans="1:34" x14ac:dyDescent="0.25">
      <c r="A37" t="s">
        <v>42</v>
      </c>
      <c r="C37" s="8">
        <f>10+15+2+13-11</f>
        <v>29</v>
      </c>
      <c r="D37" s="10">
        <v>26</v>
      </c>
      <c r="E37" s="10">
        <v>26</v>
      </c>
      <c r="F37" s="112">
        <v>47</v>
      </c>
      <c r="G37" s="112">
        <v>36</v>
      </c>
      <c r="H37" s="113">
        <v>-44</v>
      </c>
      <c r="I37" s="54">
        <v>-59</v>
      </c>
      <c r="J37" s="102">
        <v>8</v>
      </c>
      <c r="K37" s="43">
        <v>-56</v>
      </c>
      <c r="L37" s="65">
        <v>50</v>
      </c>
      <c r="M37" s="21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</row>
    <row r="38" spans="1:34" x14ac:dyDescent="0.25">
      <c r="C38" s="8"/>
      <c r="D38" s="10"/>
      <c r="E38" s="10"/>
      <c r="F38" s="10"/>
      <c r="G38" s="10"/>
      <c r="H38" s="11"/>
      <c r="L38" s="65"/>
      <c r="M38" s="21"/>
    </row>
    <row r="39" spans="1:34" x14ac:dyDescent="0.25">
      <c r="A39" s="81" t="s">
        <v>60</v>
      </c>
      <c r="B39" s="82"/>
      <c r="C39" s="83">
        <f t="shared" ref="C39:AC39" si="22">SUM(C34:C37)</f>
        <v>-585</v>
      </c>
      <c r="D39" s="83">
        <f t="shared" si="22"/>
        <v>-376</v>
      </c>
      <c r="E39" s="83">
        <f t="shared" si="22"/>
        <v>-294</v>
      </c>
      <c r="F39" s="83">
        <f t="shared" si="22"/>
        <v>-214</v>
      </c>
      <c r="G39" s="83">
        <f t="shared" si="22"/>
        <v>-202</v>
      </c>
      <c r="H39" s="83">
        <f t="shared" si="22"/>
        <v>-283</v>
      </c>
      <c r="I39" s="83">
        <f t="shared" si="22"/>
        <v>-381</v>
      </c>
      <c r="J39" s="83">
        <f t="shared" si="22"/>
        <v>-197</v>
      </c>
      <c r="K39" s="83">
        <f t="shared" si="22"/>
        <v>-223</v>
      </c>
      <c r="L39" s="84">
        <f t="shared" si="22"/>
        <v>-51</v>
      </c>
      <c r="M39" s="85">
        <f t="shared" si="22"/>
        <v>59</v>
      </c>
      <c r="N39" s="83">
        <f t="shared" si="22"/>
        <v>39.910750000000235</v>
      </c>
      <c r="O39" s="83">
        <f t="shared" si="22"/>
        <v>105.55808206250026</v>
      </c>
      <c r="P39" s="83">
        <f t="shared" si="22"/>
        <v>177.22830081123516</v>
      </c>
      <c r="Q39" s="83">
        <f t="shared" si="22"/>
        <v>255.34930885430481</v>
      </c>
      <c r="R39" s="83">
        <f t="shared" si="22"/>
        <v>340.37647659362233</v>
      </c>
      <c r="S39" s="83">
        <f t="shared" si="22"/>
        <v>432.7943121394585</v>
      </c>
      <c r="T39" s="83">
        <f t="shared" si="22"/>
        <v>533.11822934266115</v>
      </c>
      <c r="U39" s="83">
        <f t="shared" si="22"/>
        <v>641.89641957492609</v>
      </c>
      <c r="V39" s="83">
        <f t="shared" si="22"/>
        <v>759.71183320501814</v>
      </c>
      <c r="W39" s="83">
        <f t="shared" si="22"/>
        <v>887.18427705397653</v>
      </c>
      <c r="X39" s="83">
        <f t="shared" si="22"/>
        <v>1024.9726344661656</v>
      </c>
      <c r="Y39" s="83">
        <f t="shared" si="22"/>
        <v>1173.777215006447</v>
      </c>
      <c r="Z39" s="83">
        <f t="shared" si="22"/>
        <v>1334.3422411879919</v>
      </c>
      <c r="AA39" s="83">
        <f t="shared" si="22"/>
        <v>1470.6073633520655</v>
      </c>
      <c r="AB39" s="83">
        <f t="shared" si="22"/>
        <v>1568.5896392881496</v>
      </c>
      <c r="AC39" s="83">
        <f t="shared" si="22"/>
        <v>1625.7853460685023</v>
      </c>
      <c r="AD39" s="83">
        <f t="shared" ref="AD39:AF39" si="23">SUM(AD34:AD37)</f>
        <v>1656.3298695537169</v>
      </c>
      <c r="AE39" s="83">
        <f t="shared" si="23"/>
        <v>1687.0540187342799</v>
      </c>
      <c r="AF39" s="83">
        <f t="shared" si="23"/>
        <v>1641.5657695455952</v>
      </c>
      <c r="AG39" s="83">
        <f>SUM(AG34:AG37)</f>
        <v>1594.2893970719128</v>
      </c>
      <c r="AH39" s="83">
        <f t="shared" ref="AH39" si="24">SUM(AH34:AH37)</f>
        <v>1545.1439096052782</v>
      </c>
    </row>
    <row r="40" spans="1:34" x14ac:dyDescent="0.25">
      <c r="A40" s="56"/>
      <c r="D40" s="55"/>
      <c r="E40" s="55"/>
      <c r="F40" s="55"/>
      <c r="G40" s="55"/>
      <c r="H40" s="55"/>
      <c r="I40" s="55"/>
      <c r="J40" s="55"/>
      <c r="K40" s="55"/>
      <c r="L40" s="75"/>
      <c r="M40" s="57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/>
      <c r="AB40" s="55"/>
      <c r="AC40" s="55"/>
      <c r="AD40" s="55"/>
      <c r="AE40" s="55"/>
      <c r="AF40" s="55"/>
      <c r="AG40" s="55"/>
      <c r="AH40" s="55"/>
    </row>
    <row r="41" spans="1:34" x14ac:dyDescent="0.25">
      <c r="A41" t="s">
        <v>72</v>
      </c>
      <c r="C41" s="86">
        <v>178</v>
      </c>
      <c r="D41" s="86">
        <v>207</v>
      </c>
      <c r="E41" s="86">
        <v>229</v>
      </c>
      <c r="F41" s="86">
        <v>252</v>
      </c>
      <c r="G41" s="86">
        <v>207</v>
      </c>
      <c r="H41" s="86">
        <v>221</v>
      </c>
      <c r="I41" s="86">
        <v>238</v>
      </c>
      <c r="J41" s="117">
        <v>257</v>
      </c>
      <c r="K41" s="117">
        <v>271</v>
      </c>
      <c r="L41" s="93">
        <v>285</v>
      </c>
      <c r="M41" s="88">
        <v>287</v>
      </c>
      <c r="N41" s="89">
        <f t="shared" ref="N41:AF41" si="25">MAX((M44+(N30-N19)/2)*N11,0)</f>
        <v>303.08020031250004</v>
      </c>
      <c r="O41" s="89">
        <f t="shared" si="25"/>
        <v>310.56643830164063</v>
      </c>
      <c r="P41" s="89">
        <f t="shared" si="25"/>
        <v>316.06456882474578</v>
      </c>
      <c r="Q41" s="89">
        <f t="shared" si="25"/>
        <v>319.307281154485</v>
      </c>
      <c r="R41" s="89">
        <f t="shared" si="25"/>
        <v>320.00422377847696</v>
      </c>
      <c r="S41" s="89">
        <f t="shared" si="25"/>
        <v>317.84033573436488</v>
      </c>
      <c r="T41" s="89">
        <f t="shared" si="25"/>
        <v>312.47406784664736</v>
      </c>
      <c r="U41" s="89">
        <f t="shared" si="25"/>
        <v>303.53548700675259</v>
      </c>
      <c r="V41" s="89">
        <f t="shared" si="25"/>
        <v>290.62425622679791</v>
      </c>
      <c r="W41" s="89">
        <f t="shared" si="25"/>
        <v>273.30748276246021</v>
      </c>
      <c r="X41" s="89">
        <f t="shared" si="25"/>
        <v>251.11742614003791</v>
      </c>
      <c r="Y41" s="89">
        <f t="shared" si="25"/>
        <v>223.54905743565917</v>
      </c>
      <c r="Z41" s="89">
        <f t="shared" si="25"/>
        <v>190.05746063915848</v>
      </c>
      <c r="AA41" s="89">
        <f t="shared" si="25"/>
        <v>150.65389703615517</v>
      </c>
      <c r="AB41" s="89">
        <f t="shared" si="25"/>
        <v>106.16319739692673</v>
      </c>
      <c r="AC41" s="89">
        <f t="shared" si="25"/>
        <v>57.704907800281262</v>
      </c>
      <c r="AD41" s="89">
        <f t="shared" si="25"/>
        <v>6.2459450499293379</v>
      </c>
      <c r="AE41" s="89">
        <f t="shared" si="25"/>
        <v>0</v>
      </c>
      <c r="AF41" s="89">
        <f t="shared" si="25"/>
        <v>0</v>
      </c>
      <c r="AG41" s="89">
        <f>MAX((AF44+(AG30-AG19)/2)*AG11,0)</f>
        <v>0</v>
      </c>
      <c r="AH41" s="89">
        <f t="shared" ref="AH41" si="26">MAX((AG44+(AH30-AH19)/2)*AH11,0)</f>
        <v>0</v>
      </c>
    </row>
    <row r="42" spans="1:34" s="6" customFormat="1" x14ac:dyDescent="0.25">
      <c r="A42" s="6" t="s">
        <v>61</v>
      </c>
      <c r="C42" s="12">
        <f>+C39-C41</f>
        <v>-763</v>
      </c>
      <c r="D42" s="12">
        <f t="shared" ref="D42:AH42" si="27">+D39-D41</f>
        <v>-583</v>
      </c>
      <c r="E42" s="12">
        <f t="shared" si="27"/>
        <v>-523</v>
      </c>
      <c r="F42" s="12">
        <f t="shared" si="27"/>
        <v>-466</v>
      </c>
      <c r="G42" s="12">
        <f t="shared" si="27"/>
        <v>-409</v>
      </c>
      <c r="H42" s="12">
        <f t="shared" si="27"/>
        <v>-504</v>
      </c>
      <c r="I42" s="12">
        <f t="shared" si="27"/>
        <v>-619</v>
      </c>
      <c r="J42" s="12">
        <f t="shared" si="27"/>
        <v>-454</v>
      </c>
      <c r="K42" s="12">
        <f t="shared" si="27"/>
        <v>-494</v>
      </c>
      <c r="L42" s="77">
        <f t="shared" si="27"/>
        <v>-336</v>
      </c>
      <c r="M42" s="31">
        <f t="shared" si="27"/>
        <v>-228</v>
      </c>
      <c r="N42" s="12">
        <f t="shared" si="27"/>
        <v>-263.16945031249981</v>
      </c>
      <c r="O42" s="12">
        <f t="shared" si="27"/>
        <v>-205.00835623914037</v>
      </c>
      <c r="P42" s="12">
        <f t="shared" si="27"/>
        <v>-138.83626801351062</v>
      </c>
      <c r="Q42" s="12">
        <f t="shared" si="27"/>
        <v>-63.957972300180188</v>
      </c>
      <c r="R42" s="12">
        <f t="shared" si="27"/>
        <v>20.372252815145373</v>
      </c>
      <c r="S42" s="12">
        <f t="shared" si="27"/>
        <v>114.95397640509361</v>
      </c>
      <c r="T42" s="12">
        <f t="shared" si="27"/>
        <v>220.64416149601379</v>
      </c>
      <c r="U42" s="12">
        <f t="shared" si="27"/>
        <v>338.3609325681735</v>
      </c>
      <c r="V42" s="12">
        <f t="shared" si="27"/>
        <v>469.08757697822023</v>
      </c>
      <c r="W42" s="12">
        <f t="shared" si="27"/>
        <v>613.87679429151626</v>
      </c>
      <c r="X42" s="12">
        <f t="shared" si="27"/>
        <v>773.85520832612769</v>
      </c>
      <c r="Y42" s="12">
        <f t="shared" si="27"/>
        <v>950.22815757078786</v>
      </c>
      <c r="Z42" s="12">
        <f t="shared" si="27"/>
        <v>1144.2847805488334</v>
      </c>
      <c r="AA42" s="12">
        <f t="shared" si="27"/>
        <v>1319.9534663159102</v>
      </c>
      <c r="AB42" s="12">
        <f t="shared" si="27"/>
        <v>1462.4264418912228</v>
      </c>
      <c r="AC42" s="12">
        <f t="shared" si="27"/>
        <v>1568.0804382682211</v>
      </c>
      <c r="AD42" s="12">
        <f t="shared" si="27"/>
        <v>1650.0839245037876</v>
      </c>
      <c r="AE42" s="12">
        <f t="shared" si="27"/>
        <v>1687.0540187342799</v>
      </c>
      <c r="AF42" s="12">
        <f t="shared" si="27"/>
        <v>1641.5657695455952</v>
      </c>
      <c r="AG42" s="12">
        <f t="shared" si="27"/>
        <v>1594.2893970719128</v>
      </c>
      <c r="AH42" s="12">
        <f t="shared" si="27"/>
        <v>1545.1439096052782</v>
      </c>
    </row>
    <row r="43" spans="1:34" x14ac:dyDescent="0.25">
      <c r="D43" s="11"/>
      <c r="E43" s="11"/>
      <c r="F43" s="11"/>
      <c r="G43" s="11"/>
      <c r="H43" s="11"/>
      <c r="I43" s="11"/>
      <c r="J43" s="11"/>
      <c r="K43" s="11"/>
      <c r="L43" s="65"/>
      <c r="M43" s="21"/>
    </row>
    <row r="44" spans="1:34" x14ac:dyDescent="0.25">
      <c r="A44" s="21" t="s">
        <v>26</v>
      </c>
      <c r="B44" s="21"/>
      <c r="C44" s="22">
        <v>4735</v>
      </c>
      <c r="D44" s="22">
        <v>5318</v>
      </c>
      <c r="E44" s="22">
        <f>5606+229</f>
        <v>5835</v>
      </c>
      <c r="F44" s="22">
        <v>6332</v>
      </c>
      <c r="G44" s="22">
        <v>6730</v>
      </c>
      <c r="H44" s="23">
        <v>7254</v>
      </c>
      <c r="I44" s="23">
        <f>7254+350+238</f>
        <v>7842</v>
      </c>
      <c r="J44" s="23">
        <v>8294</v>
      </c>
      <c r="K44" s="23">
        <v>8790</v>
      </c>
      <c r="L44" s="78">
        <f>8840+285</f>
        <v>9125</v>
      </c>
      <c r="M44" s="23">
        <f t="shared" ref="M44:AH44" si="28">MAX(0,+L44-M42)</f>
        <v>9353</v>
      </c>
      <c r="N44" s="23">
        <f t="shared" si="28"/>
        <v>9616.1694503125</v>
      </c>
      <c r="O44" s="23">
        <f t="shared" si="28"/>
        <v>9821.177806551641</v>
      </c>
      <c r="P44" s="23">
        <f t="shared" si="28"/>
        <v>9960.0140745651515</v>
      </c>
      <c r="Q44" s="23">
        <f t="shared" si="28"/>
        <v>10023.972046865332</v>
      </c>
      <c r="R44" s="23">
        <f t="shared" si="28"/>
        <v>10003.599794050187</v>
      </c>
      <c r="S44" s="23">
        <f t="shared" si="28"/>
        <v>9888.6458176450942</v>
      </c>
      <c r="T44" s="23">
        <f t="shared" si="28"/>
        <v>9668.0016561490811</v>
      </c>
      <c r="U44" s="23">
        <f t="shared" si="28"/>
        <v>9329.6407235809074</v>
      </c>
      <c r="V44" s="23">
        <f t="shared" si="28"/>
        <v>8860.5531466026878</v>
      </c>
      <c r="W44" s="23">
        <f t="shared" si="28"/>
        <v>8246.6763523111713</v>
      </c>
      <c r="X44" s="23">
        <f t="shared" si="28"/>
        <v>7472.8211439850438</v>
      </c>
      <c r="Y44" s="23">
        <f t="shared" si="28"/>
        <v>6522.5929864142563</v>
      </c>
      <c r="Z44" s="23">
        <f t="shared" si="28"/>
        <v>5378.3082058654227</v>
      </c>
      <c r="AA44" s="23">
        <f t="shared" si="28"/>
        <v>4058.3547395495125</v>
      </c>
      <c r="AB44" s="23">
        <f t="shared" si="28"/>
        <v>2595.9282976582899</v>
      </c>
      <c r="AC44" s="23">
        <f t="shared" si="28"/>
        <v>1027.8478593900688</v>
      </c>
      <c r="AD44" s="23">
        <f t="shared" si="28"/>
        <v>0</v>
      </c>
      <c r="AE44" s="23">
        <f t="shared" si="28"/>
        <v>0</v>
      </c>
      <c r="AF44" s="23">
        <f t="shared" si="28"/>
        <v>0</v>
      </c>
      <c r="AG44" s="23">
        <f t="shared" si="28"/>
        <v>0</v>
      </c>
      <c r="AH44" s="23">
        <f t="shared" si="28"/>
        <v>0</v>
      </c>
    </row>
    <row r="45" spans="1:34" x14ac:dyDescent="0.25">
      <c r="A45" s="21" t="s">
        <v>27</v>
      </c>
      <c r="B45" s="21"/>
      <c r="C45" s="22">
        <v>4731</v>
      </c>
      <c r="D45" s="22">
        <v>4752</v>
      </c>
      <c r="E45" s="22">
        <v>4776</v>
      </c>
      <c r="F45" s="22">
        <v>5144</v>
      </c>
      <c r="G45" s="22">
        <v>5444</v>
      </c>
      <c r="H45" s="24">
        <v>6424</v>
      </c>
      <c r="I45" s="24">
        <v>6773</v>
      </c>
      <c r="J45" s="24">
        <v>7482</v>
      </c>
      <c r="K45" s="24">
        <v>7500</v>
      </c>
      <c r="L45" s="68">
        <f t="shared" ref="L45:AH45" si="29">IF(L44&gt;0,K45+L47,MAX(0,K45+L47-(L42-(K44-L44))))</f>
        <v>7500</v>
      </c>
      <c r="M45" s="24">
        <f t="shared" si="29"/>
        <v>7500</v>
      </c>
      <c r="N45" s="24">
        <f t="shared" si="29"/>
        <v>7500</v>
      </c>
      <c r="O45" s="24">
        <f t="shared" si="29"/>
        <v>7500</v>
      </c>
      <c r="P45" s="24">
        <f t="shared" si="29"/>
        <v>7500</v>
      </c>
      <c r="Q45" s="24">
        <f t="shared" si="29"/>
        <v>7500</v>
      </c>
      <c r="R45" s="24">
        <f t="shared" si="29"/>
        <v>7500</v>
      </c>
      <c r="S45" s="24">
        <f t="shared" si="29"/>
        <v>7500</v>
      </c>
      <c r="T45" s="24">
        <f t="shared" si="29"/>
        <v>7500</v>
      </c>
      <c r="U45" s="24">
        <f t="shared" si="29"/>
        <v>7500</v>
      </c>
      <c r="V45" s="24">
        <f t="shared" si="29"/>
        <v>7500</v>
      </c>
      <c r="W45" s="24">
        <f t="shared" si="29"/>
        <v>7500</v>
      </c>
      <c r="X45" s="24">
        <f t="shared" si="29"/>
        <v>7500</v>
      </c>
      <c r="Y45" s="24">
        <f t="shared" si="29"/>
        <v>7500</v>
      </c>
      <c r="Z45" s="24">
        <f t="shared" si="29"/>
        <v>7500</v>
      </c>
      <c r="AA45" s="24">
        <f t="shared" si="29"/>
        <v>7500</v>
      </c>
      <c r="AB45" s="24">
        <f t="shared" si="29"/>
        <v>7500</v>
      </c>
      <c r="AC45" s="24">
        <f t="shared" si="29"/>
        <v>7500</v>
      </c>
      <c r="AD45" s="24">
        <f t="shared" si="29"/>
        <v>6877.7639348862813</v>
      </c>
      <c r="AE45" s="24">
        <f t="shared" si="29"/>
        <v>5190.7099161520018</v>
      </c>
      <c r="AF45" s="24">
        <f t="shared" si="29"/>
        <v>3549.1441466064066</v>
      </c>
      <c r="AG45" s="24">
        <f t="shared" si="29"/>
        <v>1954.8547495344937</v>
      </c>
      <c r="AH45" s="24">
        <f t="shared" si="29"/>
        <v>409.71083992921558</v>
      </c>
    </row>
    <row r="46" spans="1:34" x14ac:dyDescent="0.25">
      <c r="A46" t="s">
        <v>71</v>
      </c>
      <c r="C46" s="54"/>
      <c r="D46" s="101">
        <f>+D44-C44</f>
        <v>583</v>
      </c>
      <c r="E46" s="102">
        <f t="shared" ref="E46:AH46" si="30">+E44-D44</f>
        <v>517</v>
      </c>
      <c r="F46" s="102">
        <f t="shared" si="30"/>
        <v>497</v>
      </c>
      <c r="G46" s="102">
        <f t="shared" si="30"/>
        <v>398</v>
      </c>
      <c r="H46" s="43">
        <f t="shared" si="30"/>
        <v>524</v>
      </c>
      <c r="I46" s="43">
        <f t="shared" si="30"/>
        <v>588</v>
      </c>
      <c r="J46" s="43">
        <f t="shared" si="30"/>
        <v>452</v>
      </c>
      <c r="K46" s="43">
        <f t="shared" si="30"/>
        <v>496</v>
      </c>
      <c r="L46" s="68">
        <f t="shared" si="30"/>
        <v>335</v>
      </c>
      <c r="M46" s="24">
        <f t="shared" si="30"/>
        <v>228</v>
      </c>
      <c r="N46" s="4">
        <f t="shared" si="30"/>
        <v>263.16945031249998</v>
      </c>
      <c r="O46" s="4">
        <f t="shared" si="30"/>
        <v>205.00835623914099</v>
      </c>
      <c r="P46" s="4">
        <f t="shared" si="30"/>
        <v>138.83626801351056</v>
      </c>
      <c r="Q46" s="4">
        <f t="shared" si="30"/>
        <v>63.9579723001807</v>
      </c>
      <c r="R46" s="4">
        <f t="shared" si="30"/>
        <v>-20.372252815144748</v>
      </c>
      <c r="S46" s="4">
        <f t="shared" si="30"/>
        <v>-114.95397640509327</v>
      </c>
      <c r="T46" s="4">
        <f t="shared" si="30"/>
        <v>-220.64416149601311</v>
      </c>
      <c r="U46" s="4">
        <f t="shared" si="30"/>
        <v>-338.36093256817367</v>
      </c>
      <c r="V46" s="4">
        <f t="shared" si="30"/>
        <v>-469.08757697821966</v>
      </c>
      <c r="W46" s="4">
        <f t="shared" si="30"/>
        <v>-613.87679429151649</v>
      </c>
      <c r="X46" s="4">
        <f t="shared" si="30"/>
        <v>-773.85520832612747</v>
      </c>
      <c r="Y46" s="4">
        <f t="shared" si="30"/>
        <v>-950.22815757078752</v>
      </c>
      <c r="Z46" s="4">
        <f t="shared" si="30"/>
        <v>-1144.2847805488336</v>
      </c>
      <c r="AA46" s="4">
        <f t="shared" si="30"/>
        <v>-1319.9534663159102</v>
      </c>
      <c r="AB46" s="4">
        <f t="shared" si="30"/>
        <v>-1462.4264418912226</v>
      </c>
      <c r="AC46" s="4">
        <f t="shared" si="30"/>
        <v>-1568.0804382682211</v>
      </c>
      <c r="AD46" s="4">
        <f t="shared" si="30"/>
        <v>-1027.8478593900688</v>
      </c>
      <c r="AE46" s="4">
        <f t="shared" si="30"/>
        <v>0</v>
      </c>
      <c r="AF46" s="4">
        <f t="shared" si="30"/>
        <v>0</v>
      </c>
      <c r="AG46" s="4">
        <f t="shared" si="30"/>
        <v>0</v>
      </c>
      <c r="AH46" s="4">
        <f t="shared" si="30"/>
        <v>0</v>
      </c>
    </row>
    <row r="47" spans="1:34" x14ac:dyDescent="0.25">
      <c r="A47" t="s">
        <v>31</v>
      </c>
      <c r="C47" s="54"/>
      <c r="D47" s="54">
        <f>+D45-C45</f>
        <v>21</v>
      </c>
      <c r="E47" s="54">
        <f>+E45-D45</f>
        <v>24</v>
      </c>
      <c r="F47" s="54">
        <f>+F45-E45</f>
        <v>368</v>
      </c>
      <c r="G47" s="54">
        <f>+G45-F45</f>
        <v>300</v>
      </c>
      <c r="H47" s="59">
        <v>980</v>
      </c>
      <c r="I47">
        <v>349</v>
      </c>
      <c r="J47">
        <v>709</v>
      </c>
      <c r="K47">
        <f>IF(SUM($D47:J47)&lt;(7500-$C45),IF((10000*K6/1000+SUM($D47:J47))&lt;(7500-$C45),10000*K6/1000,7500-$C45-SUM($D47:J47)),0)</f>
        <v>18</v>
      </c>
      <c r="L47" s="65">
        <f>IF(SUM($D47:K47)&lt;(7500-$C45),IF((10000*L6/1000+SUM($D47:K47))&lt;(7500-$C45),10000*L6/1000,7500-$C45-SUM($D47:K47)),0)</f>
        <v>0</v>
      </c>
      <c r="M47" s="21">
        <f>IF(SUM($D47:L47)&lt;(7500-$C45),IF((10000*M6/1000+SUM($D47:L47))&lt;(7500-$C45),10000*M6/1000,7500-$C45-SUM($D47:L47)),0)</f>
        <v>0</v>
      </c>
      <c r="N47">
        <f>IF(SUM($D47:M47)&lt;(7500-$C45),IF((10000*N6/1000+SUM($D47:M47))&lt;(7500-$C45),10000*N6/1000,7500-$C45-SUM($D47:M47)),0)</f>
        <v>0</v>
      </c>
      <c r="O47">
        <f>IF(SUM($D47:N47)&lt;(7500-$C45),IF((10000*O6/1000+SUM($D47:N47))&lt;(7500-$C45),10000*O6/1000,7500-$C45-SUM($D47:N47)),0)</f>
        <v>0</v>
      </c>
      <c r="P47">
        <f>IF(SUM($D47:O47)&lt;(7500-$C45),IF((10000*P6/1000+SUM($D47:O47))&lt;(7500-$C45),10000*P6/1000,7500-$C45-SUM($D47:O47)),0)</f>
        <v>0</v>
      </c>
      <c r="Q47">
        <f>IF(SUM($D47:P47)&lt;(7500-$C45),IF((10000*Q6/1000+SUM($D47:P47))&lt;(7500-$C45),10000*Q6/1000,7500-$C45-SUM($D47:P47)),0)</f>
        <v>0</v>
      </c>
      <c r="R47">
        <f>IF(SUM($D47:Q47)&lt;(7500-$C45),IF((10000*R6/1000+SUM($D47:Q47))&lt;(7500-$C45),10000*R6/1000,7500-$C45-SUM($D47:Q47)),0)</f>
        <v>0</v>
      </c>
      <c r="S47">
        <f>IF(SUM($D47:R47)&lt;(7500-$C45),IF((10000*S6/1000+SUM($D47:R47))&lt;(7500-$C45),10000*S6/1000,7500-$C45-SUM($D47:R47)),0)</f>
        <v>0</v>
      </c>
      <c r="T47">
        <f>IF(SUM($D47:S47)&lt;(7500-$C45),IF((10000*T6/1000+SUM($D47:S47))&lt;(7500-$C45),10000*T6/1000,7500-$C45-SUM($D47:S47)),0)</f>
        <v>0</v>
      </c>
      <c r="U47">
        <f>IF(SUM($D47:T47)&lt;(7500-$C45),IF((10000*U6/1000+SUM($D47:T47))&lt;(7500-$C45),10000*U6/1000,7500-$C45-SUM($D47:T47)),0)</f>
        <v>0</v>
      </c>
      <c r="V47">
        <f>IF(SUM($D47:U47)&lt;(7500-$C45),IF((10000*V6/1000+SUM($D47:U47))&lt;(7500-$C45),10000*V6/1000,7500-$C45-SUM($D47:U47)),0)</f>
        <v>0</v>
      </c>
      <c r="W47">
        <f>IF(SUM($D47:V47)&lt;(7500-$C45),IF((10000*W6/1000+SUM($D47:V47))&lt;(7500-$C45),10000*W6/1000,7500-$C45-SUM($D47:V47)),0)</f>
        <v>0</v>
      </c>
      <c r="X47">
        <f>IF(SUM($D47:W47)&lt;(7500-$C45),IF((10000*X6/1000+SUM($D47:W47))&lt;(7500-$C45),10000*X6/1000,7500-$C45-SUM($D47:W47)),0)</f>
        <v>0</v>
      </c>
      <c r="Y47">
        <f>IF(SUM($D47:X47)&lt;(7500-$C45),IF((10000*Y6/1000+SUM($D47:X47))&lt;(7500-$C45),10000*Y6/1000,7500-$C45-SUM($D47:X47)),0)</f>
        <v>0</v>
      </c>
      <c r="Z47">
        <f>IF(SUM($D47:Y47)&lt;(7500-$C45),IF((10000*Z6/1000+SUM($D47:Y47))&lt;(7500-$C45),10000*Z6/1000,7500-$C45-SUM($D47:Y47)),0)</f>
        <v>0</v>
      </c>
      <c r="AA47">
        <f>IF(SUM($D47:Z47)&lt;(7500-$C45),IF((10000*AA6/1000+SUM($D47:Z47))&lt;(7500-$C45),10000*AA6/1000,7500-$C45-SUM($D47:Z47)),0)</f>
        <v>0</v>
      </c>
      <c r="AB47">
        <f>IF(SUM($D47:AA47)&lt;(7500-$C45),IF((10000*AB6/1000+SUM($D47:AA47))&lt;(7500-$C45),10000*AB6/1000,7500-$C45-SUM($D47:AA47)),0)</f>
        <v>0</v>
      </c>
      <c r="AC47">
        <f>IF(SUM($D47:AB47)&lt;(7500-$C45),IF((10000*AC6/1000+SUM($D47:AB47))&lt;(7500-$C45),10000*AC6/1000,7500-$C45-SUM($D47:AB47)),0)</f>
        <v>0</v>
      </c>
      <c r="AD47">
        <f>IF(SUM($D47:AC47)&lt;(7500-$C45),IF((10000*AD6/1000+SUM($D47:AC47))&lt;(7500-$C45),10000*AD6/1000,7500-$C45-SUM($D47:AC47)),0)</f>
        <v>0</v>
      </c>
      <c r="AE47">
        <f>IF(SUM($D47:AD47)&lt;(7500-$C45),IF((10000*AE6/1000+SUM($D47:AD47))&lt;(7500-$C45),10000*AE6/1000,7500-$C45-SUM($D47:AD47)),0)</f>
        <v>0</v>
      </c>
      <c r="AF47">
        <f>IF(SUM($D47:AE47)&lt;(7500-$C45),IF((10000*AF6/1000+SUM($D47:AE47))&lt;(7500-$C45),10000*AF6/1000,7500-$C45-SUM($D47:AE47)),0)</f>
        <v>0</v>
      </c>
      <c r="AG47">
        <f>IF(SUM($D47:AF47)&lt;(7500-$C45),IF((10000*AG6/1000+SUM($D47:AF47))&lt;(7500-$C45),10000*AG6/1000,7500-$C45-SUM($D47:AF47)),0)</f>
        <v>0</v>
      </c>
      <c r="AH47">
        <f>IF(SUM($D47:AG47)&lt;(7500-$C45),IF((10000*AH6/1000+SUM($D47:AG47))&lt;(7500-$C45),10000*AH6/1000,7500-$C45-SUM($D47:AG47)),0)</f>
        <v>0</v>
      </c>
    </row>
    <row r="48" spans="1:34" x14ac:dyDescent="0.25">
      <c r="A48" t="s">
        <v>55</v>
      </c>
      <c r="C48">
        <v>8</v>
      </c>
      <c r="D48" s="11">
        <v>8</v>
      </c>
      <c r="E48" s="11">
        <v>2</v>
      </c>
      <c r="F48" s="11">
        <v>33</v>
      </c>
      <c r="G48" s="11">
        <v>22</v>
      </c>
      <c r="H48">
        <v>42</v>
      </c>
      <c r="I48" s="11">
        <v>12</v>
      </c>
      <c r="J48" s="11">
        <v>1</v>
      </c>
      <c r="K48" s="11">
        <v>3</v>
      </c>
      <c r="L48" s="78">
        <v>2</v>
      </c>
      <c r="M48" s="23">
        <f t="shared" ref="M48:AH48" si="31">+L48</f>
        <v>2</v>
      </c>
      <c r="N48" s="11">
        <f t="shared" si="31"/>
        <v>2</v>
      </c>
      <c r="O48" s="11">
        <f t="shared" si="31"/>
        <v>2</v>
      </c>
      <c r="P48" s="11">
        <f t="shared" si="31"/>
        <v>2</v>
      </c>
      <c r="Q48" s="11">
        <f t="shared" si="31"/>
        <v>2</v>
      </c>
      <c r="R48" s="11">
        <f t="shared" si="31"/>
        <v>2</v>
      </c>
      <c r="S48" s="11">
        <f t="shared" si="31"/>
        <v>2</v>
      </c>
      <c r="T48" s="11">
        <f t="shared" si="31"/>
        <v>2</v>
      </c>
      <c r="U48" s="11">
        <f t="shared" si="31"/>
        <v>2</v>
      </c>
      <c r="V48" s="11">
        <f t="shared" si="31"/>
        <v>2</v>
      </c>
      <c r="W48" s="11">
        <f t="shared" si="31"/>
        <v>2</v>
      </c>
      <c r="X48" s="11">
        <f t="shared" si="31"/>
        <v>2</v>
      </c>
      <c r="Y48" s="11">
        <f t="shared" si="31"/>
        <v>2</v>
      </c>
      <c r="Z48" s="11">
        <f t="shared" si="31"/>
        <v>2</v>
      </c>
      <c r="AA48" s="11">
        <f t="shared" si="31"/>
        <v>2</v>
      </c>
      <c r="AB48" s="11">
        <f t="shared" si="31"/>
        <v>2</v>
      </c>
      <c r="AC48" s="11">
        <f t="shared" si="31"/>
        <v>2</v>
      </c>
      <c r="AD48" s="11">
        <f t="shared" si="31"/>
        <v>2</v>
      </c>
      <c r="AE48" s="11">
        <f t="shared" si="31"/>
        <v>2</v>
      </c>
      <c r="AF48" s="11">
        <f t="shared" si="31"/>
        <v>2</v>
      </c>
      <c r="AG48" s="11">
        <f t="shared" si="31"/>
        <v>2</v>
      </c>
      <c r="AH48" s="11">
        <f t="shared" si="31"/>
        <v>2</v>
      </c>
    </row>
    <row r="49" spans="1:34" x14ac:dyDescent="0.25">
      <c r="A49" t="s">
        <v>56</v>
      </c>
      <c r="C49">
        <f t="shared" ref="C49:F49" si="32">+C48-B48</f>
        <v>8</v>
      </c>
      <c r="D49" s="11">
        <f t="shared" si="32"/>
        <v>0</v>
      </c>
      <c r="E49" s="11">
        <f t="shared" si="32"/>
        <v>-6</v>
      </c>
      <c r="F49" s="11">
        <f t="shared" si="32"/>
        <v>31</v>
      </c>
      <c r="G49" s="11">
        <f>+G48-F48</f>
        <v>-11</v>
      </c>
      <c r="H49" s="11">
        <f>+H48-G48</f>
        <v>20</v>
      </c>
      <c r="I49" s="11">
        <f t="shared" ref="I49:AH49" si="33">+I48-H48</f>
        <v>-30</v>
      </c>
      <c r="J49" s="11">
        <f t="shared" si="33"/>
        <v>-11</v>
      </c>
      <c r="K49" s="11">
        <f t="shared" si="33"/>
        <v>2</v>
      </c>
      <c r="L49" s="78">
        <f t="shared" si="33"/>
        <v>-1</v>
      </c>
      <c r="M49" s="23">
        <f t="shared" si="33"/>
        <v>0</v>
      </c>
      <c r="N49" s="11">
        <f t="shared" si="33"/>
        <v>0</v>
      </c>
      <c r="O49" s="11">
        <f t="shared" si="33"/>
        <v>0</v>
      </c>
      <c r="P49" s="11">
        <f t="shared" si="33"/>
        <v>0</v>
      </c>
      <c r="Q49" s="11">
        <f t="shared" si="33"/>
        <v>0</v>
      </c>
      <c r="R49" s="11">
        <f t="shared" si="33"/>
        <v>0</v>
      </c>
      <c r="S49" s="11">
        <f t="shared" si="33"/>
        <v>0</v>
      </c>
      <c r="T49" s="11">
        <f t="shared" si="33"/>
        <v>0</v>
      </c>
      <c r="U49" s="11">
        <f t="shared" si="33"/>
        <v>0</v>
      </c>
      <c r="V49" s="11">
        <f t="shared" si="33"/>
        <v>0</v>
      </c>
      <c r="W49" s="11">
        <f t="shared" si="33"/>
        <v>0</v>
      </c>
      <c r="X49" s="11">
        <f t="shared" si="33"/>
        <v>0</v>
      </c>
      <c r="Y49" s="11">
        <f t="shared" si="33"/>
        <v>0</v>
      </c>
      <c r="Z49" s="11">
        <f t="shared" si="33"/>
        <v>0</v>
      </c>
      <c r="AA49" s="11">
        <f t="shared" si="33"/>
        <v>0</v>
      </c>
      <c r="AB49" s="11">
        <f t="shared" si="33"/>
        <v>0</v>
      </c>
      <c r="AC49" s="11">
        <f t="shared" si="33"/>
        <v>0</v>
      </c>
      <c r="AD49" s="11">
        <f t="shared" si="33"/>
        <v>0</v>
      </c>
      <c r="AE49" s="11">
        <f t="shared" si="33"/>
        <v>0</v>
      </c>
      <c r="AF49" s="11">
        <f t="shared" si="33"/>
        <v>0</v>
      </c>
      <c r="AG49" s="11">
        <f t="shared" si="33"/>
        <v>0</v>
      </c>
      <c r="AH49" s="11">
        <f t="shared" si="33"/>
        <v>0</v>
      </c>
    </row>
    <row r="50" spans="1:34" x14ac:dyDescent="0.25">
      <c r="D50" s="59"/>
      <c r="E50" s="59"/>
      <c r="F50" s="59"/>
      <c r="G50" s="59"/>
      <c r="H50" s="59"/>
      <c r="I50" s="59"/>
      <c r="L50" s="65"/>
      <c r="M50" s="21"/>
    </row>
    <row r="72" spans="1:40" x14ac:dyDescent="0.25">
      <c r="C72" s="4"/>
    </row>
    <row r="74" spans="1:40" x14ac:dyDescent="0.25">
      <c r="A74" t="s">
        <v>62</v>
      </c>
      <c r="C74" s="10">
        <f t="shared" ref="C74:AH74" si="34">+C34-C18+C23+C29</f>
        <v>-299</v>
      </c>
      <c r="D74" s="10">
        <f t="shared" si="34"/>
        <v>-200</v>
      </c>
      <c r="E74" s="10">
        <f t="shared" si="34"/>
        <v>-214</v>
      </c>
      <c r="F74" s="10">
        <f t="shared" si="34"/>
        <v>-173</v>
      </c>
      <c r="G74" s="10">
        <f t="shared" si="34"/>
        <v>-161</v>
      </c>
      <c r="H74" s="10">
        <f t="shared" si="34"/>
        <v>-122</v>
      </c>
      <c r="I74" s="10">
        <f t="shared" si="34"/>
        <v>-143</v>
      </c>
      <c r="J74" s="10">
        <f t="shared" si="34"/>
        <v>-38</v>
      </c>
      <c r="K74" s="10">
        <f t="shared" si="34"/>
        <v>65</v>
      </c>
      <c r="L74" s="10">
        <f t="shared" si="34"/>
        <v>106</v>
      </c>
      <c r="M74" s="10">
        <f t="shared" si="34"/>
        <v>123</v>
      </c>
      <c r="N74" s="10">
        <f t="shared" si="34"/>
        <v>180.03575000000012</v>
      </c>
      <c r="O74" s="10">
        <f t="shared" si="34"/>
        <v>248.81120706250013</v>
      </c>
      <c r="P74" s="10">
        <f t="shared" si="34"/>
        <v>323.68775393623503</v>
      </c>
      <c r="Q74" s="10">
        <f t="shared" si="34"/>
        <v>405.09524830742964</v>
      </c>
      <c r="R74" s="10">
        <f t="shared" si="34"/>
        <v>493.4910645330753</v>
      </c>
      <c r="S74" s="10">
        <f t="shared" si="34"/>
        <v>589.36176477739775</v>
      </c>
      <c r="T74" s="10">
        <f t="shared" si="34"/>
        <v>693.22486829654895</v>
      </c>
      <c r="U74" s="10">
        <f t="shared" si="34"/>
        <v>805.630724502661</v>
      </c>
      <c r="V74" s="10">
        <f t="shared" si="34"/>
        <v>927.16449575594629</v>
      </c>
      <c r="W74" s="10">
        <f t="shared" si="34"/>
        <v>1058.448256168678</v>
      </c>
      <c r="X74" s="10">
        <f t="shared" si="34"/>
        <v>1200.1432130587345</v>
      </c>
      <c r="Y74" s="10">
        <f t="shared" si="34"/>
        <v>1352.9520580638302</v>
      </c>
      <c r="Z74" s="10">
        <f t="shared" si="34"/>
        <v>1517.6214553218097</v>
      </c>
      <c r="AA74" s="10">
        <f t="shared" si="34"/>
        <v>1658.0935578392287</v>
      </c>
      <c r="AB74" s="10">
        <f t="shared" si="34"/>
        <v>1760.3879886374916</v>
      </c>
      <c r="AC74" s="10">
        <f t="shared" si="34"/>
        <v>1822.0036541515778</v>
      </c>
      <c r="AD74" s="10">
        <f t="shared" si="34"/>
        <v>1857.0786353388694</v>
      </c>
      <c r="AE74" s="10">
        <f t="shared" si="34"/>
        <v>1892.4465036640613</v>
      </c>
      <c r="AF74" s="10">
        <f t="shared" si="34"/>
        <v>1851.7180665986211</v>
      </c>
      <c r="AG74" s="10">
        <f t="shared" si="34"/>
        <v>1809.3205015512644</v>
      </c>
      <c r="AH74" s="10">
        <f t="shared" si="34"/>
        <v>1765.1757916966133</v>
      </c>
      <c r="AI74" s="10"/>
      <c r="AJ74" s="10"/>
      <c r="AK74" s="10"/>
      <c r="AL74" s="10"/>
      <c r="AM74" s="10"/>
      <c r="AN74" s="10"/>
    </row>
    <row r="75" spans="1:40" x14ac:dyDescent="0.25">
      <c r="A75" t="s">
        <v>63</v>
      </c>
      <c r="C75" s="90">
        <f t="shared" ref="C75:AH75" si="35">+C34-C74</f>
        <v>-310</v>
      </c>
      <c r="D75" s="90">
        <f t="shared" si="35"/>
        <v>-199</v>
      </c>
      <c r="E75" s="90">
        <f t="shared" si="35"/>
        <v>-71</v>
      </c>
      <c r="F75" s="90">
        <f t="shared" si="35"/>
        <v>-83</v>
      </c>
      <c r="G75" s="90">
        <f t="shared" si="35"/>
        <v>-73</v>
      </c>
      <c r="H75" s="90">
        <f t="shared" si="35"/>
        <v>-101</v>
      </c>
      <c r="I75" s="90">
        <f t="shared" si="35"/>
        <v>-162</v>
      </c>
      <c r="J75" s="90">
        <f t="shared" si="35"/>
        <v>-164</v>
      </c>
      <c r="K75" s="90">
        <f t="shared" si="35"/>
        <v>-232</v>
      </c>
      <c r="L75" s="90">
        <f t="shared" si="35"/>
        <v>-180</v>
      </c>
      <c r="M75" s="90">
        <f t="shared" si="35"/>
        <v>-64</v>
      </c>
      <c r="N75" s="90">
        <f t="shared" si="35"/>
        <v>-125.12499999999989</v>
      </c>
      <c r="O75" s="90">
        <f t="shared" si="35"/>
        <v>-128.25312499999987</v>
      </c>
      <c r="P75" s="90">
        <f t="shared" si="35"/>
        <v>-131.45945312499987</v>
      </c>
      <c r="Q75" s="90">
        <f t="shared" si="35"/>
        <v>-134.74593945312483</v>
      </c>
      <c r="R75" s="90">
        <f t="shared" si="35"/>
        <v>-138.11458793945297</v>
      </c>
      <c r="S75" s="90">
        <f t="shared" si="35"/>
        <v>-141.56745263793925</v>
      </c>
      <c r="T75" s="90">
        <f t="shared" si="35"/>
        <v>-145.1066389538878</v>
      </c>
      <c r="U75" s="90">
        <f t="shared" si="35"/>
        <v>-148.73430492773491</v>
      </c>
      <c r="V75" s="90">
        <f t="shared" si="35"/>
        <v>-152.45266255092815</v>
      </c>
      <c r="W75" s="90">
        <f t="shared" si="35"/>
        <v>-156.26397911470144</v>
      </c>
      <c r="X75" s="90">
        <f t="shared" si="35"/>
        <v>-160.17057859256897</v>
      </c>
      <c r="Y75" s="90">
        <f t="shared" si="35"/>
        <v>-164.17484305738321</v>
      </c>
      <c r="Z75" s="90">
        <f t="shared" si="35"/>
        <v>-168.27921413381773</v>
      </c>
      <c r="AA75" s="90">
        <f t="shared" si="35"/>
        <v>-172.48619448716317</v>
      </c>
      <c r="AB75" s="90">
        <f t="shared" si="35"/>
        <v>-176.79834934934206</v>
      </c>
      <c r="AC75" s="90">
        <f t="shared" si="35"/>
        <v>-181.2183080830755</v>
      </c>
      <c r="AD75" s="90">
        <f t="shared" si="35"/>
        <v>-185.7487657851525</v>
      </c>
      <c r="AE75" s="90">
        <f t="shared" si="35"/>
        <v>-190.3924849297814</v>
      </c>
      <c r="AF75" s="90">
        <f t="shared" si="35"/>
        <v>-195.1522970530259</v>
      </c>
      <c r="AG75" s="90">
        <f t="shared" si="35"/>
        <v>-200.0311044793516</v>
      </c>
      <c r="AH75" s="90">
        <f t="shared" si="35"/>
        <v>-205.03188209133509</v>
      </c>
      <c r="AI75" s="90"/>
      <c r="AJ75" s="90"/>
      <c r="AK75" s="90"/>
      <c r="AL75" s="90"/>
      <c r="AM75" s="90"/>
      <c r="AN75" s="90"/>
    </row>
    <row r="76" spans="1:40" x14ac:dyDescent="0.25">
      <c r="A76" t="s">
        <v>64</v>
      </c>
      <c r="C76" s="10">
        <f t="shared" ref="C76:AH76" si="36">+C74+C75</f>
        <v>-609</v>
      </c>
      <c r="D76" s="10">
        <f t="shared" si="36"/>
        <v>-399</v>
      </c>
      <c r="E76" s="10">
        <f t="shared" si="36"/>
        <v>-285</v>
      </c>
      <c r="F76" s="10">
        <f t="shared" si="36"/>
        <v>-256</v>
      </c>
      <c r="G76" s="10">
        <f t="shared" si="36"/>
        <v>-234</v>
      </c>
      <c r="H76" s="10">
        <f t="shared" si="36"/>
        <v>-223</v>
      </c>
      <c r="I76" s="10">
        <f t="shared" si="36"/>
        <v>-305</v>
      </c>
      <c r="J76" s="10">
        <f t="shared" si="36"/>
        <v>-202</v>
      </c>
      <c r="K76" s="10">
        <f t="shared" si="36"/>
        <v>-167</v>
      </c>
      <c r="L76" s="10">
        <f t="shared" si="36"/>
        <v>-74</v>
      </c>
      <c r="M76" s="10">
        <f t="shared" si="36"/>
        <v>59</v>
      </c>
      <c r="N76" s="10">
        <f t="shared" si="36"/>
        <v>54.910750000000235</v>
      </c>
      <c r="O76" s="10">
        <f t="shared" si="36"/>
        <v>120.55808206250026</v>
      </c>
      <c r="P76" s="10">
        <f t="shared" si="36"/>
        <v>192.22830081123516</v>
      </c>
      <c r="Q76" s="10">
        <f t="shared" si="36"/>
        <v>270.34930885430481</v>
      </c>
      <c r="R76" s="10">
        <f t="shared" si="36"/>
        <v>355.37647659362233</v>
      </c>
      <c r="S76" s="10">
        <f t="shared" si="36"/>
        <v>447.7943121394585</v>
      </c>
      <c r="T76" s="10">
        <f t="shared" si="36"/>
        <v>548.11822934266115</v>
      </c>
      <c r="U76" s="10">
        <f t="shared" si="36"/>
        <v>656.89641957492609</v>
      </c>
      <c r="V76" s="10">
        <f t="shared" si="36"/>
        <v>774.71183320501814</v>
      </c>
      <c r="W76" s="10">
        <f t="shared" si="36"/>
        <v>902.18427705397653</v>
      </c>
      <c r="X76" s="10">
        <f t="shared" si="36"/>
        <v>1039.9726344661656</v>
      </c>
      <c r="Y76" s="10">
        <f t="shared" si="36"/>
        <v>1188.777215006447</v>
      </c>
      <c r="Z76" s="10">
        <f t="shared" si="36"/>
        <v>1349.3422411879919</v>
      </c>
      <c r="AA76" s="10">
        <f t="shared" si="36"/>
        <v>1485.6073633520655</v>
      </c>
      <c r="AB76" s="10">
        <f t="shared" si="36"/>
        <v>1583.5896392881496</v>
      </c>
      <c r="AC76" s="10">
        <f t="shared" si="36"/>
        <v>1640.7853460685023</v>
      </c>
      <c r="AD76" s="10">
        <f t="shared" si="36"/>
        <v>1671.3298695537169</v>
      </c>
      <c r="AE76" s="10">
        <f t="shared" si="36"/>
        <v>1702.0540187342799</v>
      </c>
      <c r="AF76" s="10">
        <f t="shared" si="36"/>
        <v>1656.5657695455952</v>
      </c>
      <c r="AG76" s="10">
        <f t="shared" si="36"/>
        <v>1609.2893970719128</v>
      </c>
      <c r="AH76" s="10">
        <f t="shared" si="36"/>
        <v>1560.1439096052782</v>
      </c>
      <c r="AI76" s="10"/>
      <c r="AJ76" s="10"/>
      <c r="AK76" s="10"/>
      <c r="AL76" s="10"/>
      <c r="AM76" s="10"/>
      <c r="AN76" s="10"/>
    </row>
    <row r="79" spans="1:40" x14ac:dyDescent="0.25"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43"/>
      <c r="R79" s="43"/>
      <c r="S79" s="43"/>
      <c r="T79" s="43"/>
      <c r="U79" s="43"/>
      <c r="V79" s="43"/>
      <c r="W79" s="43"/>
      <c r="X79" s="43"/>
      <c r="Y79" s="43"/>
      <c r="Z79" s="43"/>
      <c r="AA79" s="43"/>
      <c r="AB79" s="43"/>
      <c r="AC79" s="43"/>
    </row>
    <row r="80" spans="1:40" x14ac:dyDescent="0.25">
      <c r="D80" s="59"/>
      <c r="E80" s="59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</row>
    <row r="81" spans="6:29" x14ac:dyDescent="0.25">
      <c r="F81" s="59"/>
      <c r="G81" s="59"/>
      <c r="H81" s="59"/>
      <c r="I81" s="59"/>
      <c r="J81" s="59"/>
      <c r="K81" s="59"/>
      <c r="L81" s="59"/>
      <c r="M81" s="59"/>
      <c r="N81" s="59"/>
      <c r="O81" s="59"/>
      <c r="P81" s="59"/>
      <c r="Q81" s="59"/>
      <c r="R81" s="59"/>
      <c r="S81" s="59"/>
      <c r="T81" s="59"/>
      <c r="U81" s="59"/>
      <c r="V81" s="59"/>
      <c r="W81" s="59"/>
      <c r="X81" s="59"/>
      <c r="Y81" s="59"/>
      <c r="Z81" s="59"/>
      <c r="AA81" s="59"/>
      <c r="AB81" s="59"/>
      <c r="AC81" s="59"/>
    </row>
    <row r="85" spans="6:29" x14ac:dyDescent="0.25">
      <c r="H85" s="10"/>
      <c r="K85" s="111"/>
      <c r="L85" s="111"/>
      <c r="M85" s="111"/>
      <c r="N85" s="111"/>
      <c r="O85" s="111"/>
      <c r="P85" s="111"/>
      <c r="Q85" s="111"/>
      <c r="R85" s="111"/>
      <c r="S85" s="111"/>
      <c r="T85" s="111"/>
      <c r="U85" s="111"/>
      <c r="V85" s="111"/>
      <c r="W85" s="111"/>
      <c r="X85" s="111"/>
      <c r="Y85" s="111"/>
      <c r="Z85" s="111"/>
      <c r="AA85" s="111"/>
      <c r="AB85" s="111"/>
      <c r="AC85" s="111"/>
    </row>
    <row r="87" spans="6:29" x14ac:dyDescent="0.25">
      <c r="L87" s="103"/>
    </row>
    <row r="90" spans="6:29" x14ac:dyDescent="0.25"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  <c r="AA90" s="10"/>
      <c r="AB90" s="10"/>
      <c r="AC90" s="10"/>
    </row>
  </sheetData>
  <pageMargins left="0.7" right="0.7" top="0.75" bottom="0.75" header="0.3" footer="0.3"/>
  <pageSetup scale="43" orientation="landscape" r:id="rId1"/>
  <drawing r:id="rId2"/>
  <legacy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9A93F7-423C-4AF5-9DCF-742B3AD5CC9C}">
  <sheetPr>
    <pageSetUpPr fitToPage="1"/>
  </sheetPr>
  <dimension ref="A1:AN90"/>
  <sheetViews>
    <sheetView workbookViewId="0">
      <selection activeCell="N2" sqref="N2"/>
    </sheetView>
  </sheetViews>
  <sheetFormatPr defaultRowHeight="15" x14ac:dyDescent="0.25"/>
  <cols>
    <col min="1" max="1" width="26.140625" customWidth="1"/>
    <col min="2" max="2" width="11.28515625" customWidth="1"/>
    <col min="3" max="3" width="11.5703125" hidden="1" customWidth="1"/>
    <col min="4" max="4" width="9.5703125" hidden="1" customWidth="1"/>
    <col min="5" max="5" width="10.5703125" hidden="1" customWidth="1"/>
    <col min="6" max="6" width="10" hidden="1" customWidth="1"/>
    <col min="7" max="7" width="9.42578125" customWidth="1"/>
    <col min="8" max="10" width="8.5703125" customWidth="1"/>
    <col min="11" max="11" width="9.42578125" customWidth="1"/>
    <col min="12" max="29" width="8.5703125" customWidth="1"/>
  </cols>
  <sheetData>
    <row r="1" spans="1:34" ht="23.25" customHeight="1" x14ac:dyDescent="0.4">
      <c r="A1" s="19" t="s">
        <v>22</v>
      </c>
    </row>
    <row r="2" spans="1:34" ht="18.75" x14ac:dyDescent="0.3">
      <c r="A2" s="20" t="s">
        <v>76</v>
      </c>
      <c r="G2" s="10"/>
      <c r="H2" s="79"/>
      <c r="I2" s="79"/>
      <c r="J2" s="79"/>
      <c r="K2" s="79"/>
      <c r="L2" s="79"/>
      <c r="N2" s="118" t="s">
        <v>57</v>
      </c>
    </row>
    <row r="3" spans="1:34" x14ac:dyDescent="0.25">
      <c r="A3" t="s">
        <v>28</v>
      </c>
      <c r="C3" s="14">
        <v>2009</v>
      </c>
      <c r="D3" s="14">
        <v>2010</v>
      </c>
      <c r="E3" s="14">
        <v>2011</v>
      </c>
      <c r="F3" s="14">
        <v>2012</v>
      </c>
      <c r="G3" s="14">
        <f t="shared" ref="G3:V3" si="0">+F3+1</f>
        <v>2013</v>
      </c>
      <c r="H3" s="14">
        <f t="shared" si="0"/>
        <v>2014</v>
      </c>
      <c r="I3" s="14">
        <f t="shared" si="0"/>
        <v>2015</v>
      </c>
      <c r="J3" s="14">
        <f t="shared" si="0"/>
        <v>2016</v>
      </c>
      <c r="K3" s="14">
        <f t="shared" si="0"/>
        <v>2017</v>
      </c>
      <c r="L3" s="14">
        <f t="shared" si="0"/>
        <v>2018</v>
      </c>
      <c r="M3" s="64">
        <f t="shared" si="0"/>
        <v>2019</v>
      </c>
      <c r="N3" s="27">
        <f t="shared" si="0"/>
        <v>2020</v>
      </c>
      <c r="O3" s="14">
        <f t="shared" si="0"/>
        <v>2021</v>
      </c>
      <c r="P3" s="14">
        <f t="shared" si="0"/>
        <v>2022</v>
      </c>
      <c r="Q3" s="14">
        <f t="shared" si="0"/>
        <v>2023</v>
      </c>
      <c r="R3" s="14">
        <f t="shared" si="0"/>
        <v>2024</v>
      </c>
      <c r="S3" s="14">
        <f t="shared" si="0"/>
        <v>2025</v>
      </c>
      <c r="T3" s="14">
        <f t="shared" si="0"/>
        <v>2026</v>
      </c>
      <c r="U3" s="14">
        <f t="shared" si="0"/>
        <v>2027</v>
      </c>
      <c r="V3" s="14">
        <f t="shared" si="0"/>
        <v>2028</v>
      </c>
      <c r="W3" s="14">
        <f>+V3+1</f>
        <v>2029</v>
      </c>
      <c r="X3" s="14">
        <f>+W3+1</f>
        <v>2030</v>
      </c>
      <c r="Y3" s="14">
        <f t="shared" ref="Y3:AH3" si="1">+X3+1</f>
        <v>2031</v>
      </c>
      <c r="Z3" s="14">
        <f t="shared" si="1"/>
        <v>2032</v>
      </c>
      <c r="AA3" s="14">
        <f t="shared" si="1"/>
        <v>2033</v>
      </c>
      <c r="AB3" s="14">
        <f t="shared" si="1"/>
        <v>2034</v>
      </c>
      <c r="AC3" s="14">
        <f t="shared" si="1"/>
        <v>2035</v>
      </c>
      <c r="AD3" s="14">
        <f t="shared" si="1"/>
        <v>2036</v>
      </c>
      <c r="AE3" s="14">
        <f t="shared" si="1"/>
        <v>2037</v>
      </c>
      <c r="AF3" s="14">
        <f t="shared" si="1"/>
        <v>2038</v>
      </c>
      <c r="AG3" s="14">
        <f t="shared" si="1"/>
        <v>2039</v>
      </c>
      <c r="AH3" s="14">
        <f t="shared" si="1"/>
        <v>2040</v>
      </c>
    </row>
    <row r="4" spans="1:34" x14ac:dyDescent="0.25">
      <c r="M4" s="65"/>
      <c r="N4" s="21"/>
    </row>
    <row r="5" spans="1:34" s="4" customFormat="1" x14ac:dyDescent="0.25">
      <c r="A5" s="104" t="s">
        <v>50</v>
      </c>
      <c r="C5" s="43">
        <v>332</v>
      </c>
      <c r="D5" s="43">
        <f>+C5+D6</f>
        <v>379</v>
      </c>
      <c r="E5" s="43">
        <f t="shared" ref="E5:AH5" si="2">+D5+E6</f>
        <v>424</v>
      </c>
      <c r="F5" s="43">
        <f t="shared" si="2"/>
        <v>468</v>
      </c>
      <c r="G5" s="43">
        <f t="shared" si="2"/>
        <v>510</v>
      </c>
      <c r="H5" s="43">
        <f t="shared" si="2"/>
        <v>544</v>
      </c>
      <c r="I5" s="43">
        <f t="shared" si="2"/>
        <v>581</v>
      </c>
      <c r="J5" s="43">
        <f t="shared" si="2"/>
        <v>615</v>
      </c>
      <c r="K5" s="43">
        <f t="shared" si="2"/>
        <v>671</v>
      </c>
      <c r="L5" s="43">
        <f t="shared" si="2"/>
        <v>717</v>
      </c>
      <c r="M5" s="65">
        <v>764</v>
      </c>
      <c r="N5" s="24">
        <f>M5+N6</f>
        <v>806</v>
      </c>
      <c r="O5" s="4">
        <f t="shared" si="2"/>
        <v>848</v>
      </c>
      <c r="P5" s="4">
        <f t="shared" si="2"/>
        <v>890</v>
      </c>
      <c r="Q5" s="4">
        <f t="shared" si="2"/>
        <v>932</v>
      </c>
      <c r="R5" s="4">
        <f t="shared" si="2"/>
        <v>974</v>
      </c>
      <c r="S5" s="4">
        <f t="shared" si="2"/>
        <v>1016</v>
      </c>
      <c r="T5" s="4">
        <f t="shared" si="2"/>
        <v>1058</v>
      </c>
      <c r="U5" s="4">
        <f t="shared" si="2"/>
        <v>1100</v>
      </c>
      <c r="V5" s="4">
        <f t="shared" si="2"/>
        <v>1142</v>
      </c>
      <c r="W5" s="4">
        <f t="shared" si="2"/>
        <v>1184</v>
      </c>
      <c r="X5" s="4">
        <f t="shared" si="2"/>
        <v>1226</v>
      </c>
      <c r="Y5" s="4">
        <f t="shared" si="2"/>
        <v>1268</v>
      </c>
      <c r="Z5" s="4">
        <f t="shared" si="2"/>
        <v>1310</v>
      </c>
      <c r="AA5" s="4">
        <f t="shared" si="2"/>
        <v>1352</v>
      </c>
      <c r="AB5" s="4">
        <f t="shared" si="2"/>
        <v>1378</v>
      </c>
      <c r="AC5" s="4">
        <f t="shared" si="2"/>
        <v>1378</v>
      </c>
      <c r="AD5" s="4">
        <f t="shared" si="2"/>
        <v>1378</v>
      </c>
      <c r="AE5" s="4">
        <f t="shared" si="2"/>
        <v>1378</v>
      </c>
      <c r="AF5" s="4">
        <f t="shared" si="2"/>
        <v>1378</v>
      </c>
      <c r="AG5" s="4">
        <f t="shared" si="2"/>
        <v>1378</v>
      </c>
      <c r="AH5" s="4">
        <f t="shared" si="2"/>
        <v>1378</v>
      </c>
    </row>
    <row r="6" spans="1:34" x14ac:dyDescent="0.25">
      <c r="A6" s="1" t="s">
        <v>68</v>
      </c>
      <c r="D6" s="3">
        <v>47</v>
      </c>
      <c r="E6" s="3">
        <v>45</v>
      </c>
      <c r="F6" s="3">
        <v>44</v>
      </c>
      <c r="G6" s="3">
        <v>42</v>
      </c>
      <c r="H6" s="3">
        <v>34</v>
      </c>
      <c r="I6" s="3">
        <v>37</v>
      </c>
      <c r="J6" s="3">
        <v>34</v>
      </c>
      <c r="K6" s="3">
        <v>56</v>
      </c>
      <c r="L6" s="3">
        <v>46</v>
      </c>
      <c r="M6" s="131">
        <f>+M5-L5</f>
        <v>47</v>
      </c>
      <c r="N6" s="132">
        <v>42</v>
      </c>
      <c r="O6" s="3">
        <v>42</v>
      </c>
      <c r="P6" s="3">
        <v>42</v>
      </c>
      <c r="Q6" s="3">
        <v>42</v>
      </c>
      <c r="R6" s="3">
        <v>42</v>
      </c>
      <c r="S6" s="3">
        <v>42</v>
      </c>
      <c r="T6" s="3">
        <v>42</v>
      </c>
      <c r="U6" s="3">
        <v>42</v>
      </c>
      <c r="V6" s="3">
        <v>42</v>
      </c>
      <c r="W6" s="3">
        <v>42</v>
      </c>
      <c r="X6" s="3">
        <v>42</v>
      </c>
      <c r="Y6" s="3">
        <v>42</v>
      </c>
      <c r="Z6" s="3">
        <v>42</v>
      </c>
      <c r="AA6" s="3">
        <v>42</v>
      </c>
      <c r="AB6" s="3">
        <v>26</v>
      </c>
      <c r="AC6" s="3">
        <v>0</v>
      </c>
      <c r="AD6" s="3">
        <v>0</v>
      </c>
      <c r="AE6" s="3">
        <v>0</v>
      </c>
      <c r="AF6" s="3">
        <v>0</v>
      </c>
      <c r="AG6" s="3">
        <v>0</v>
      </c>
      <c r="AH6" s="3">
        <v>0</v>
      </c>
    </row>
    <row r="7" spans="1:34" s="105" customFormat="1" x14ac:dyDescent="0.25">
      <c r="A7" s="105" t="s">
        <v>32</v>
      </c>
      <c r="D7" s="106">
        <f>+D8/C8-1</f>
        <v>9.8654708520179435E-2</v>
      </c>
      <c r="E7" s="106">
        <v>0</v>
      </c>
      <c r="F7" s="106">
        <v>0.05</v>
      </c>
      <c r="G7" s="106">
        <v>0.05</v>
      </c>
      <c r="H7" s="107">
        <v>0.05</v>
      </c>
      <c r="I7" s="107">
        <v>0.05</v>
      </c>
      <c r="J7" s="107">
        <v>0.05</v>
      </c>
      <c r="K7" s="107">
        <v>0</v>
      </c>
      <c r="L7" s="107">
        <v>0.05</v>
      </c>
      <c r="M7" s="108">
        <v>0.05</v>
      </c>
      <c r="N7" s="130">
        <f>+N8/M8-1</f>
        <v>5.0000000000000044E-2</v>
      </c>
      <c r="O7" s="110">
        <f t="shared" ref="O7:AH7" si="3">+O8/N8-1</f>
        <v>5.0000000000000044E-2</v>
      </c>
      <c r="P7" s="110">
        <f t="shared" si="3"/>
        <v>5.0000000000000044E-2</v>
      </c>
      <c r="Q7" s="110">
        <f t="shared" si="3"/>
        <v>5.0000000000000044E-2</v>
      </c>
      <c r="R7" s="110">
        <f t="shared" si="3"/>
        <v>5.0000000000000044E-2</v>
      </c>
      <c r="S7" s="110">
        <f t="shared" si="3"/>
        <v>5.0000000000000044E-2</v>
      </c>
      <c r="T7" s="110">
        <f t="shared" si="3"/>
        <v>5.0000000000000044E-2</v>
      </c>
      <c r="U7" s="110">
        <f t="shared" si="3"/>
        <v>5.0000000000000044E-2</v>
      </c>
      <c r="V7" s="110">
        <f t="shared" si="3"/>
        <v>5.0000000000000044E-2</v>
      </c>
      <c r="W7" s="110">
        <f t="shared" si="3"/>
        <v>5.0000000000000044E-2</v>
      </c>
      <c r="X7" s="110">
        <f t="shared" si="3"/>
        <v>5.0000000000000044E-2</v>
      </c>
      <c r="Y7" s="110">
        <f t="shared" si="3"/>
        <v>5.0000000000000044E-2</v>
      </c>
      <c r="Z7" s="110">
        <f t="shared" si="3"/>
        <v>5.0000000000000044E-2</v>
      </c>
      <c r="AA7" s="110">
        <f t="shared" si="3"/>
        <v>3.5718739418019174E-2</v>
      </c>
      <c r="AB7" s="110">
        <f t="shared" si="3"/>
        <v>2.5000000000000133E-2</v>
      </c>
      <c r="AC7" s="110">
        <f t="shared" si="3"/>
        <v>2.5000000000000133E-2</v>
      </c>
      <c r="AD7" s="110">
        <f t="shared" si="3"/>
        <v>0</v>
      </c>
      <c r="AE7" s="110">
        <f t="shared" si="3"/>
        <v>0</v>
      </c>
      <c r="AF7" s="110">
        <f t="shared" si="3"/>
        <v>0</v>
      </c>
      <c r="AG7" s="110">
        <f t="shared" si="3"/>
        <v>0</v>
      </c>
      <c r="AH7" s="110">
        <f t="shared" si="3"/>
        <v>0</v>
      </c>
    </row>
    <row r="8" spans="1:34" x14ac:dyDescent="0.25">
      <c r="A8" t="s">
        <v>3</v>
      </c>
      <c r="C8" s="3">
        <f>55.75*12</f>
        <v>669</v>
      </c>
      <c r="D8" s="3">
        <v>735</v>
      </c>
      <c r="E8" s="3">
        <v>735</v>
      </c>
      <c r="F8" s="121">
        <v>772</v>
      </c>
      <c r="G8" s="121">
        <v>810</v>
      </c>
      <c r="H8" s="122">
        <v>850</v>
      </c>
      <c r="I8" s="122">
        <v>892</v>
      </c>
      <c r="J8" s="122">
        <v>936</v>
      </c>
      <c r="K8" s="122">
        <v>936</v>
      </c>
      <c r="L8" s="122">
        <v>984</v>
      </c>
      <c r="M8" s="123">
        <v>1032</v>
      </c>
      <c r="N8" s="24">
        <f>IF(L44=0,M8,MIN(1.05*M8,1200*1.025^(N3-$F3)))</f>
        <v>1083.6000000000001</v>
      </c>
      <c r="O8" s="4">
        <f t="shared" ref="O8:AH8" si="4">IF(M44=0,N8,MIN(1.05*N8,1200*1.025^(O3-$F3)))</f>
        <v>1137.7800000000002</v>
      </c>
      <c r="P8" s="4">
        <f t="shared" si="4"/>
        <v>1194.6690000000003</v>
      </c>
      <c r="Q8" s="4">
        <f t="shared" si="4"/>
        <v>1254.4024500000005</v>
      </c>
      <c r="R8" s="4">
        <f t="shared" si="4"/>
        <v>1317.1225725000006</v>
      </c>
      <c r="S8" s="4">
        <f t="shared" si="4"/>
        <v>1382.9787011250007</v>
      </c>
      <c r="T8" s="4">
        <f t="shared" si="4"/>
        <v>1452.1276361812509</v>
      </c>
      <c r="U8" s="4">
        <f t="shared" si="4"/>
        <v>1524.7340179903135</v>
      </c>
      <c r="V8" s="4">
        <f t="shared" si="4"/>
        <v>1600.9707188898292</v>
      </c>
      <c r="W8" s="4">
        <f t="shared" si="4"/>
        <v>1681.0192548343207</v>
      </c>
      <c r="X8" s="4">
        <f t="shared" si="4"/>
        <v>1765.0702175760368</v>
      </c>
      <c r="Y8" s="4">
        <f t="shared" si="4"/>
        <v>1853.3237284548388</v>
      </c>
      <c r="Z8" s="4">
        <f t="shared" si="4"/>
        <v>1945.9899148775808</v>
      </c>
      <c r="AA8" s="4">
        <f t="shared" si="4"/>
        <v>2015.4982215571863</v>
      </c>
      <c r="AB8" s="4">
        <f t="shared" si="4"/>
        <v>2065.8856770961161</v>
      </c>
      <c r="AC8" s="4">
        <f t="shared" si="4"/>
        <v>2117.5328190235191</v>
      </c>
      <c r="AD8" s="4">
        <f t="shared" si="4"/>
        <v>2117.5328190235191</v>
      </c>
      <c r="AE8" s="4">
        <f t="shared" si="4"/>
        <v>2117.5328190235191</v>
      </c>
      <c r="AF8" s="4">
        <f t="shared" si="4"/>
        <v>2117.5328190235191</v>
      </c>
      <c r="AG8" s="4">
        <f t="shared" si="4"/>
        <v>2117.5328190235191</v>
      </c>
      <c r="AH8" s="4">
        <f t="shared" si="4"/>
        <v>2117.5328190235191</v>
      </c>
    </row>
    <row r="9" spans="1:34" x14ac:dyDescent="0.25">
      <c r="A9" t="s">
        <v>4</v>
      </c>
      <c r="E9" s="44"/>
      <c r="F9" s="51"/>
      <c r="G9" s="44"/>
      <c r="H9" s="44"/>
      <c r="I9" s="44"/>
      <c r="J9" s="51"/>
      <c r="K9" s="51"/>
      <c r="L9" s="51">
        <v>2.5000000000000001E-2</v>
      </c>
      <c r="M9" s="97">
        <f t="shared" ref="M9:AH9" si="5">+L9</f>
        <v>2.5000000000000001E-2</v>
      </c>
      <c r="N9" s="47">
        <f t="shared" si="5"/>
        <v>2.5000000000000001E-2</v>
      </c>
      <c r="O9" s="17">
        <f t="shared" si="5"/>
        <v>2.5000000000000001E-2</v>
      </c>
      <c r="P9" s="17">
        <f t="shared" si="5"/>
        <v>2.5000000000000001E-2</v>
      </c>
      <c r="Q9" s="17">
        <f t="shared" si="5"/>
        <v>2.5000000000000001E-2</v>
      </c>
      <c r="R9" s="17">
        <f t="shared" si="5"/>
        <v>2.5000000000000001E-2</v>
      </c>
      <c r="S9" s="17">
        <f t="shared" si="5"/>
        <v>2.5000000000000001E-2</v>
      </c>
      <c r="T9" s="17">
        <f t="shared" si="5"/>
        <v>2.5000000000000001E-2</v>
      </c>
      <c r="U9" s="17">
        <f t="shared" si="5"/>
        <v>2.5000000000000001E-2</v>
      </c>
      <c r="V9" s="17">
        <f t="shared" si="5"/>
        <v>2.5000000000000001E-2</v>
      </c>
      <c r="W9" s="17">
        <f t="shared" si="5"/>
        <v>2.5000000000000001E-2</v>
      </c>
      <c r="X9" s="17">
        <f t="shared" si="5"/>
        <v>2.5000000000000001E-2</v>
      </c>
      <c r="Y9" s="17">
        <f t="shared" si="5"/>
        <v>2.5000000000000001E-2</v>
      </c>
      <c r="Z9" s="17">
        <f t="shared" si="5"/>
        <v>2.5000000000000001E-2</v>
      </c>
      <c r="AA9" s="17">
        <f t="shared" si="5"/>
        <v>2.5000000000000001E-2</v>
      </c>
      <c r="AB9" s="17">
        <f t="shared" si="5"/>
        <v>2.5000000000000001E-2</v>
      </c>
      <c r="AC9" s="17">
        <f t="shared" si="5"/>
        <v>2.5000000000000001E-2</v>
      </c>
      <c r="AD9" s="17">
        <f t="shared" si="5"/>
        <v>2.5000000000000001E-2</v>
      </c>
      <c r="AE9" s="17">
        <f t="shared" si="5"/>
        <v>2.5000000000000001E-2</v>
      </c>
      <c r="AF9" s="17">
        <f t="shared" si="5"/>
        <v>2.5000000000000001E-2</v>
      </c>
      <c r="AG9" s="17">
        <f t="shared" si="5"/>
        <v>2.5000000000000001E-2</v>
      </c>
      <c r="AH9" s="17">
        <f t="shared" si="5"/>
        <v>2.5000000000000001E-2</v>
      </c>
    </row>
    <row r="10" spans="1:34" x14ac:dyDescent="0.25">
      <c r="A10" t="s">
        <v>24</v>
      </c>
      <c r="E10" s="45"/>
      <c r="F10" s="45"/>
      <c r="G10" s="45"/>
      <c r="H10" s="45"/>
      <c r="I10" s="45"/>
      <c r="J10" s="45"/>
      <c r="K10" s="45"/>
      <c r="L10" s="45">
        <v>0</v>
      </c>
      <c r="M10" s="70">
        <v>0</v>
      </c>
      <c r="N10" s="37">
        <v>0</v>
      </c>
      <c r="O10" s="16">
        <v>0</v>
      </c>
      <c r="P10" s="16">
        <v>0</v>
      </c>
      <c r="Q10" s="16">
        <v>0</v>
      </c>
      <c r="R10" s="16">
        <v>0</v>
      </c>
      <c r="S10" s="16">
        <v>0</v>
      </c>
      <c r="T10" s="16">
        <v>0</v>
      </c>
      <c r="U10" s="16">
        <v>0</v>
      </c>
      <c r="V10" s="16">
        <v>0</v>
      </c>
      <c r="W10" s="16">
        <v>0</v>
      </c>
      <c r="X10" s="16">
        <v>0</v>
      </c>
      <c r="Y10" s="16">
        <v>0</v>
      </c>
      <c r="Z10" s="16">
        <v>0</v>
      </c>
      <c r="AA10" s="16">
        <v>0</v>
      </c>
      <c r="AB10" s="16">
        <v>0</v>
      </c>
      <c r="AC10" s="16">
        <v>0</v>
      </c>
      <c r="AD10" s="16">
        <v>0</v>
      </c>
      <c r="AE10" s="16">
        <v>0</v>
      </c>
      <c r="AF10" s="16">
        <v>0</v>
      </c>
      <c r="AG10" s="16">
        <v>0</v>
      </c>
      <c r="AH10" s="16">
        <v>0</v>
      </c>
    </row>
    <row r="11" spans="1:34" x14ac:dyDescent="0.25">
      <c r="A11" t="s">
        <v>25</v>
      </c>
      <c r="D11" s="18">
        <v>4.2500000000000003E-2</v>
      </c>
      <c r="E11" s="46">
        <v>4.2500000000000003E-2</v>
      </c>
      <c r="F11" s="46">
        <v>4.2500000000000003E-2</v>
      </c>
      <c r="G11" s="62">
        <v>3.2500000000000001E-2</v>
      </c>
      <c r="H11" s="62">
        <v>3.2500000000000001E-2</v>
      </c>
      <c r="I11" s="62">
        <v>3.2500000000000001E-2</v>
      </c>
      <c r="J11" s="46">
        <v>3.2500000000000001E-2</v>
      </c>
      <c r="K11" s="46">
        <v>3.2500000000000001E-2</v>
      </c>
      <c r="L11" s="46">
        <v>3.2500000000000001E-2</v>
      </c>
      <c r="M11" s="98">
        <v>3.2500000000000001E-2</v>
      </c>
      <c r="N11" s="38">
        <v>3.2500000000000001E-2</v>
      </c>
      <c r="O11" s="18">
        <v>3.2500000000000001E-2</v>
      </c>
      <c r="P11" s="18">
        <v>3.2500000000000001E-2</v>
      </c>
      <c r="Q11" s="18">
        <v>3.2500000000000001E-2</v>
      </c>
      <c r="R11" s="18">
        <v>3.2500000000000001E-2</v>
      </c>
      <c r="S11" s="18">
        <v>3.2500000000000001E-2</v>
      </c>
      <c r="T11" s="18">
        <v>3.2500000000000001E-2</v>
      </c>
      <c r="U11" s="18">
        <v>3.2500000000000001E-2</v>
      </c>
      <c r="V11" s="18">
        <v>3.2500000000000001E-2</v>
      </c>
      <c r="W11" s="18">
        <v>3.2500000000000001E-2</v>
      </c>
      <c r="X11" s="18">
        <v>3.2500000000000001E-2</v>
      </c>
      <c r="Y11" s="18">
        <v>3.2500000000000001E-2</v>
      </c>
      <c r="Z11" s="18">
        <v>3.2500000000000001E-2</v>
      </c>
      <c r="AA11" s="18">
        <v>3.2500000000000001E-2</v>
      </c>
      <c r="AB11" s="18">
        <v>3.2500000000000001E-2</v>
      </c>
      <c r="AC11" s="18">
        <v>3.2500000000000001E-2</v>
      </c>
      <c r="AD11" s="18">
        <v>3.2500000000000001E-2</v>
      </c>
      <c r="AE11" s="18">
        <v>3.2500000000000001E-2</v>
      </c>
      <c r="AF11" s="18">
        <v>3.2500000000000001E-2</v>
      </c>
      <c r="AG11" s="18">
        <v>3.2500000000000001E-2</v>
      </c>
      <c r="AH11" s="18">
        <v>3.2500000000000001E-2</v>
      </c>
    </row>
    <row r="12" spans="1:34" x14ac:dyDescent="0.25">
      <c r="M12" s="65"/>
      <c r="N12" s="21"/>
    </row>
    <row r="13" spans="1:34" x14ac:dyDescent="0.25">
      <c r="A13" s="7" t="s">
        <v>41</v>
      </c>
      <c r="I13" s="58"/>
      <c r="K13" s="58"/>
      <c r="L13" s="58"/>
      <c r="M13" s="65"/>
      <c r="N13" s="21"/>
    </row>
    <row r="14" spans="1:34" x14ac:dyDescent="0.25">
      <c r="A14" t="s">
        <v>2</v>
      </c>
      <c r="C14" s="3">
        <v>214</v>
      </c>
      <c r="D14" s="3">
        <v>267</v>
      </c>
      <c r="E14" s="3">
        <v>297</v>
      </c>
      <c r="F14" s="34">
        <v>348</v>
      </c>
      <c r="G14" s="34">
        <v>398</v>
      </c>
      <c r="H14" s="34">
        <v>447</v>
      </c>
      <c r="I14" s="3">
        <v>506</v>
      </c>
      <c r="J14" s="43">
        <v>562</v>
      </c>
      <c r="K14" s="43">
        <v>606</v>
      </c>
      <c r="L14" s="43">
        <v>680</v>
      </c>
      <c r="M14" s="68">
        <v>771.11131</v>
      </c>
      <c r="N14" s="24">
        <v>842.95050000000003</v>
      </c>
      <c r="O14" s="4">
        <f>+(O5+N5)/2*O8/1000</f>
        <v>940.94406000000015</v>
      </c>
      <c r="P14" s="4">
        <f t="shared" ref="P14:AH14" si="6">+(P5+O5)/2*P8/1000</f>
        <v>1038.1673610000003</v>
      </c>
      <c r="Q14" s="4">
        <f t="shared" si="6"/>
        <v>1142.7606319500005</v>
      </c>
      <c r="R14" s="4">
        <f t="shared" si="6"/>
        <v>1255.2178115925008</v>
      </c>
      <c r="S14" s="4">
        <f t="shared" si="6"/>
        <v>1376.0638076193757</v>
      </c>
      <c r="T14" s="4">
        <f t="shared" si="6"/>
        <v>1505.8563587199571</v>
      </c>
      <c r="U14" s="4">
        <f t="shared" si="6"/>
        <v>1645.1880054115484</v>
      </c>
      <c r="V14" s="4">
        <f t="shared" si="6"/>
        <v>1794.6881758754985</v>
      </c>
      <c r="W14" s="4">
        <f t="shared" si="6"/>
        <v>1955.025393372315</v>
      </c>
      <c r="X14" s="4">
        <f t="shared" si="6"/>
        <v>2126.9096121791245</v>
      </c>
      <c r="Y14" s="4">
        <f t="shared" si="6"/>
        <v>2311.0946893831842</v>
      </c>
      <c r="Z14" s="4">
        <f t="shared" si="6"/>
        <v>2508.3810002772016</v>
      </c>
      <c r="AA14" s="4">
        <f t="shared" si="6"/>
        <v>2682.6281328926152</v>
      </c>
      <c r="AB14" s="4">
        <f t="shared" si="6"/>
        <v>2819.9339492361983</v>
      </c>
      <c r="AC14" s="4">
        <f t="shared" si="6"/>
        <v>2917.9602246144091</v>
      </c>
      <c r="AD14" s="4">
        <f t="shared" si="6"/>
        <v>2917.9602246144091</v>
      </c>
      <c r="AE14" s="4">
        <f t="shared" si="6"/>
        <v>2917.9602246144091</v>
      </c>
      <c r="AF14" s="4">
        <f t="shared" si="6"/>
        <v>2917.9602246144091</v>
      </c>
      <c r="AG14" s="4">
        <f t="shared" si="6"/>
        <v>2917.9602246144091</v>
      </c>
      <c r="AH14" s="4">
        <f t="shared" si="6"/>
        <v>2917.9602246144091</v>
      </c>
    </row>
    <row r="15" spans="1:34" x14ac:dyDescent="0.25">
      <c r="A15" t="s">
        <v>5</v>
      </c>
      <c r="C15" s="3">
        <v>5</v>
      </c>
      <c r="D15" s="3">
        <v>5</v>
      </c>
      <c r="E15" s="3">
        <v>5</v>
      </c>
      <c r="F15" s="34">
        <v>5</v>
      </c>
      <c r="G15" s="34">
        <v>5</v>
      </c>
      <c r="H15" s="34">
        <v>5</v>
      </c>
      <c r="I15" s="3">
        <v>5</v>
      </c>
      <c r="J15" s="43">
        <v>6</v>
      </c>
      <c r="K15" s="43">
        <v>0</v>
      </c>
      <c r="L15" s="43">
        <f t="shared" ref="L15:AA16" si="7">+K15*(1+L$9)</f>
        <v>0</v>
      </c>
      <c r="M15" s="68">
        <f t="shared" si="7"/>
        <v>0</v>
      </c>
      <c r="N15" s="24">
        <f t="shared" si="7"/>
        <v>0</v>
      </c>
      <c r="O15" s="4">
        <f t="shared" si="7"/>
        <v>0</v>
      </c>
      <c r="P15" s="4">
        <f t="shared" si="7"/>
        <v>0</v>
      </c>
      <c r="Q15" s="4">
        <f t="shared" si="7"/>
        <v>0</v>
      </c>
      <c r="R15" s="4">
        <f t="shared" si="7"/>
        <v>0</v>
      </c>
      <c r="S15" s="4">
        <f t="shared" si="7"/>
        <v>0</v>
      </c>
      <c r="T15" s="4">
        <f t="shared" si="7"/>
        <v>0</v>
      </c>
      <c r="U15" s="4">
        <f t="shared" si="7"/>
        <v>0</v>
      </c>
      <c r="V15" s="4">
        <f t="shared" si="7"/>
        <v>0</v>
      </c>
      <c r="W15" s="4">
        <f t="shared" si="7"/>
        <v>0</v>
      </c>
      <c r="X15" s="4">
        <f t="shared" si="7"/>
        <v>0</v>
      </c>
      <c r="Y15" s="4">
        <f t="shared" si="7"/>
        <v>0</v>
      </c>
      <c r="Z15" s="4">
        <f t="shared" si="7"/>
        <v>0</v>
      </c>
      <c r="AA15" s="4">
        <f t="shared" si="7"/>
        <v>0</v>
      </c>
      <c r="AB15" s="4">
        <f t="shared" ref="AB15:AH16" si="8">+AA15*(1+AB$9)</f>
        <v>0</v>
      </c>
      <c r="AC15" s="4">
        <f t="shared" si="8"/>
        <v>0</v>
      </c>
      <c r="AD15" s="4">
        <f t="shared" si="8"/>
        <v>0</v>
      </c>
      <c r="AE15" s="4">
        <f t="shared" si="8"/>
        <v>0</v>
      </c>
      <c r="AF15" s="4">
        <f t="shared" si="8"/>
        <v>0</v>
      </c>
      <c r="AG15" s="4">
        <f t="shared" si="8"/>
        <v>0</v>
      </c>
      <c r="AH15" s="4">
        <f t="shared" si="8"/>
        <v>0</v>
      </c>
    </row>
    <row r="16" spans="1:34" x14ac:dyDescent="0.25">
      <c r="A16" t="s">
        <v>39</v>
      </c>
      <c r="C16" s="3">
        <v>4</v>
      </c>
      <c r="D16" s="3">
        <v>3</v>
      </c>
      <c r="E16" s="3">
        <v>20</v>
      </c>
      <c r="F16" s="34">
        <v>5</v>
      </c>
      <c r="G16" s="34">
        <v>5</v>
      </c>
      <c r="H16" s="34">
        <v>5</v>
      </c>
      <c r="I16" s="3">
        <v>13</v>
      </c>
      <c r="J16" s="43">
        <v>23</v>
      </c>
      <c r="K16" s="43">
        <v>30</v>
      </c>
      <c r="L16" s="43">
        <v>49</v>
      </c>
      <c r="M16" s="68">
        <v>23.773009999999999</v>
      </c>
      <c r="N16" s="24">
        <v>20.010000000000002</v>
      </c>
      <c r="O16" s="4">
        <f t="shared" si="7"/>
        <v>20.510249999999999</v>
      </c>
      <c r="P16" s="4">
        <f t="shared" si="7"/>
        <v>21.023006249999998</v>
      </c>
      <c r="Q16" s="4">
        <f t="shared" si="7"/>
        <v>21.548581406249998</v>
      </c>
      <c r="R16" s="4">
        <f t="shared" si="7"/>
        <v>22.087295941406246</v>
      </c>
      <c r="S16" s="4">
        <f t="shared" si="7"/>
        <v>22.639478339941402</v>
      </c>
      <c r="T16" s="4">
        <f t="shared" si="7"/>
        <v>23.205465298439936</v>
      </c>
      <c r="U16" s="4">
        <f t="shared" si="7"/>
        <v>23.785601930900931</v>
      </c>
      <c r="V16" s="4">
        <f t="shared" si="7"/>
        <v>24.380241979173451</v>
      </c>
      <c r="W16" s="4">
        <f t="shared" si="7"/>
        <v>24.989748028652787</v>
      </c>
      <c r="X16" s="4">
        <f t="shared" si="7"/>
        <v>25.614491729369107</v>
      </c>
      <c r="Y16" s="4">
        <f t="shared" si="7"/>
        <v>26.254854022603332</v>
      </c>
      <c r="Z16" s="4">
        <f t="shared" si="7"/>
        <v>26.911225373168413</v>
      </c>
      <c r="AA16" s="4">
        <f t="shared" si="7"/>
        <v>27.584006007497621</v>
      </c>
      <c r="AB16" s="4">
        <f t="shared" si="8"/>
        <v>28.273606157685059</v>
      </c>
      <c r="AC16" s="4">
        <f t="shared" si="8"/>
        <v>28.980446311627183</v>
      </c>
      <c r="AD16" s="4">
        <f t="shared" si="8"/>
        <v>29.70495746941786</v>
      </c>
      <c r="AE16" s="4">
        <f t="shared" si="8"/>
        <v>30.447581406153304</v>
      </c>
      <c r="AF16" s="4">
        <f t="shared" si="8"/>
        <v>31.208770941307133</v>
      </c>
      <c r="AG16" s="4">
        <f t="shared" si="8"/>
        <v>31.988990214839809</v>
      </c>
      <c r="AH16" s="4">
        <f t="shared" si="8"/>
        <v>32.788714970210805</v>
      </c>
    </row>
    <row r="17" spans="1:34" x14ac:dyDescent="0.25">
      <c r="A17" t="s">
        <v>6</v>
      </c>
      <c r="C17" s="34">
        <v>0</v>
      </c>
      <c r="D17" s="34">
        <v>0</v>
      </c>
      <c r="E17" s="34">
        <v>0</v>
      </c>
      <c r="F17" s="34">
        <v>0</v>
      </c>
      <c r="G17" s="34">
        <v>0</v>
      </c>
      <c r="H17" s="95">
        <v>0</v>
      </c>
      <c r="I17" s="3">
        <v>0</v>
      </c>
      <c r="J17" s="43">
        <v>0</v>
      </c>
      <c r="K17" s="43">
        <v>0</v>
      </c>
      <c r="L17" s="43">
        <v>0</v>
      </c>
      <c r="M17" s="68">
        <v>0</v>
      </c>
      <c r="N17" s="24">
        <v>0</v>
      </c>
      <c r="O17" s="4">
        <v>0</v>
      </c>
      <c r="P17" s="4">
        <v>0</v>
      </c>
      <c r="Q17" s="4">
        <v>0</v>
      </c>
      <c r="R17" s="4">
        <v>0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4">
        <v>0</v>
      </c>
      <c r="AA17" s="4">
        <v>0</v>
      </c>
      <c r="AB17" s="4">
        <v>0</v>
      </c>
      <c r="AC17" s="4">
        <v>0</v>
      </c>
      <c r="AD17" s="4">
        <v>0</v>
      </c>
      <c r="AE17" s="4">
        <v>0</v>
      </c>
      <c r="AF17" s="4">
        <v>0</v>
      </c>
      <c r="AG17" s="4">
        <v>0</v>
      </c>
      <c r="AH17" s="4">
        <v>0</v>
      </c>
    </row>
    <row r="18" spans="1:34" x14ac:dyDescent="0.25">
      <c r="A18" t="s">
        <v>12</v>
      </c>
      <c r="C18" s="3">
        <f>940-77-359</f>
        <v>504</v>
      </c>
      <c r="D18" s="3">
        <v>580</v>
      </c>
      <c r="E18" s="3">
        <v>672</v>
      </c>
      <c r="F18" s="52">
        <v>696</v>
      </c>
      <c r="G18" s="52">
        <v>717</v>
      </c>
      <c r="H18" s="8">
        <v>669</v>
      </c>
      <c r="I18" s="10">
        <v>592</v>
      </c>
      <c r="J18" s="10">
        <v>573</v>
      </c>
      <c r="K18" s="10">
        <v>544</v>
      </c>
      <c r="L18" s="10">
        <v>583</v>
      </c>
      <c r="M18" s="72">
        <v>645.65287999999953</v>
      </c>
      <c r="N18" s="39">
        <v>732.66062472289309</v>
      </c>
      <c r="O18" s="10">
        <f t="shared" ref="O18:AH18" si="9">+N18*(1+O9)+O10</f>
        <v>750.97714034096532</v>
      </c>
      <c r="P18" s="10">
        <f t="shared" si="9"/>
        <v>769.75156884948933</v>
      </c>
      <c r="Q18" s="10">
        <f t="shared" si="9"/>
        <v>788.99535807072652</v>
      </c>
      <c r="R18" s="10">
        <f t="shared" si="9"/>
        <v>808.72024202249463</v>
      </c>
      <c r="S18" s="10">
        <f t="shared" si="9"/>
        <v>828.93824807305691</v>
      </c>
      <c r="T18" s="10">
        <f t="shared" si="9"/>
        <v>849.66170427488328</v>
      </c>
      <c r="U18" s="10">
        <f t="shared" si="9"/>
        <v>870.90324688175531</v>
      </c>
      <c r="V18" s="10">
        <f t="shared" si="9"/>
        <v>892.67582805379914</v>
      </c>
      <c r="W18" s="10">
        <f t="shared" si="9"/>
        <v>914.99272375514408</v>
      </c>
      <c r="X18" s="10">
        <f t="shared" si="9"/>
        <v>937.86754184902259</v>
      </c>
      <c r="Y18" s="10">
        <f t="shared" si="9"/>
        <v>961.31423039524805</v>
      </c>
      <c r="Z18" s="10">
        <f t="shared" si="9"/>
        <v>985.3470861551292</v>
      </c>
      <c r="AA18" s="10">
        <f t="shared" si="9"/>
        <v>1009.9807633090073</v>
      </c>
      <c r="AB18" s="10">
        <f t="shared" si="9"/>
        <v>1035.2302823917323</v>
      </c>
      <c r="AC18" s="10">
        <f t="shared" si="9"/>
        <v>1061.1110394515256</v>
      </c>
      <c r="AD18" s="10">
        <f t="shared" si="9"/>
        <v>1087.6388154378137</v>
      </c>
      <c r="AE18" s="10">
        <f t="shared" si="9"/>
        <v>1114.829785823759</v>
      </c>
      <c r="AF18" s="10">
        <f t="shared" si="9"/>
        <v>1142.700530469353</v>
      </c>
      <c r="AG18" s="10">
        <f t="shared" si="9"/>
        <v>1171.2680437310867</v>
      </c>
      <c r="AH18" s="10">
        <f t="shared" si="9"/>
        <v>1200.5497448243636</v>
      </c>
    </row>
    <row r="19" spans="1:34" x14ac:dyDescent="0.25">
      <c r="A19" s="6" t="s">
        <v>43</v>
      </c>
      <c r="C19" s="13">
        <f>SUM(C14:C18)</f>
        <v>727</v>
      </c>
      <c r="D19" s="35">
        <f t="shared" ref="D19:AH19" si="10">SUM(D14:D18)</f>
        <v>855</v>
      </c>
      <c r="E19" s="35">
        <f t="shared" si="10"/>
        <v>994</v>
      </c>
      <c r="F19" s="35">
        <f t="shared" si="10"/>
        <v>1054</v>
      </c>
      <c r="G19" s="35">
        <f t="shared" si="10"/>
        <v>1125</v>
      </c>
      <c r="H19" s="35">
        <f t="shared" si="10"/>
        <v>1126</v>
      </c>
      <c r="I19" s="35">
        <f t="shared" si="10"/>
        <v>1116</v>
      </c>
      <c r="J19" s="35">
        <f t="shared" si="10"/>
        <v>1164</v>
      </c>
      <c r="K19" s="35">
        <f t="shared" si="10"/>
        <v>1180</v>
      </c>
      <c r="L19" s="35">
        <f t="shared" si="10"/>
        <v>1312</v>
      </c>
      <c r="M19" s="74">
        <f t="shared" si="10"/>
        <v>1440.5371999999995</v>
      </c>
      <c r="N19" s="29">
        <f t="shared" si="10"/>
        <v>1595.621124722893</v>
      </c>
      <c r="O19" s="13">
        <f t="shared" si="10"/>
        <v>1712.4314503409655</v>
      </c>
      <c r="P19" s="13">
        <f t="shared" si="10"/>
        <v>1828.9419360994896</v>
      </c>
      <c r="Q19" s="13">
        <f t="shared" si="10"/>
        <v>1953.304571426977</v>
      </c>
      <c r="R19" s="13">
        <f t="shared" si="10"/>
        <v>2086.0253495564016</v>
      </c>
      <c r="S19" s="13">
        <f t="shared" si="10"/>
        <v>2227.6415340323738</v>
      </c>
      <c r="T19" s="13">
        <f t="shared" si="10"/>
        <v>2378.7235282932807</v>
      </c>
      <c r="U19" s="13">
        <f t="shared" si="10"/>
        <v>2539.8768542242046</v>
      </c>
      <c r="V19" s="13">
        <f t="shared" si="10"/>
        <v>2711.7442459084709</v>
      </c>
      <c r="W19" s="13">
        <f t="shared" si="10"/>
        <v>2895.0078651561116</v>
      </c>
      <c r="X19" s="13">
        <f t="shared" si="10"/>
        <v>3090.391645757516</v>
      </c>
      <c r="Y19" s="13">
        <f t="shared" si="10"/>
        <v>3298.6637738010359</v>
      </c>
      <c r="Z19" s="13">
        <f t="shared" si="10"/>
        <v>3520.6393118054989</v>
      </c>
      <c r="AA19" s="13">
        <f t="shared" si="10"/>
        <v>3720.1929022091199</v>
      </c>
      <c r="AB19" s="13">
        <f t="shared" si="10"/>
        <v>3883.4378377856156</v>
      </c>
      <c r="AC19" s="13">
        <f t="shared" si="10"/>
        <v>4008.0517103775619</v>
      </c>
      <c r="AD19" s="13">
        <f t="shared" si="10"/>
        <v>4035.3039975216407</v>
      </c>
      <c r="AE19" s="13">
        <f t="shared" si="10"/>
        <v>4063.2375918443213</v>
      </c>
      <c r="AF19" s="13">
        <f t="shared" si="10"/>
        <v>4091.8695260250693</v>
      </c>
      <c r="AG19" s="13">
        <f t="shared" si="10"/>
        <v>4121.2172585603357</v>
      </c>
      <c r="AH19" s="13">
        <f t="shared" si="10"/>
        <v>4151.2986844089837</v>
      </c>
    </row>
    <row r="20" spans="1:34" x14ac:dyDescent="0.25">
      <c r="A20" s="56" t="s">
        <v>53</v>
      </c>
      <c r="D20" s="55">
        <f>+D19/C19-1</f>
        <v>0.17606602475928468</v>
      </c>
      <c r="E20" s="55">
        <f t="shared" ref="E20:AH20" si="11">+E19/D19-1</f>
        <v>0.16257309941520459</v>
      </c>
      <c r="F20" s="55">
        <f t="shared" si="11"/>
        <v>6.0362173038229328E-2</v>
      </c>
      <c r="G20" s="55">
        <f t="shared" si="11"/>
        <v>6.7362428842504762E-2</v>
      </c>
      <c r="H20" s="55">
        <f t="shared" si="11"/>
        <v>8.8888888888893902E-4</v>
      </c>
      <c r="I20" s="55">
        <f t="shared" si="11"/>
        <v>-8.8809946714032417E-3</v>
      </c>
      <c r="J20" s="55">
        <f t="shared" si="11"/>
        <v>4.3010752688172005E-2</v>
      </c>
      <c r="K20" s="55">
        <f t="shared" si="11"/>
        <v>1.3745704467353903E-2</v>
      </c>
      <c r="L20" s="55">
        <f t="shared" si="11"/>
        <v>0.11186440677966103</v>
      </c>
      <c r="M20" s="75">
        <f t="shared" si="11"/>
        <v>9.7970426829268042E-2</v>
      </c>
      <c r="N20" s="57">
        <f t="shared" si="11"/>
        <v>0.10765700790156174</v>
      </c>
      <c r="O20" s="55">
        <f t="shared" si="11"/>
        <v>7.3206805680990694E-2</v>
      </c>
      <c r="P20" s="55">
        <f t="shared" si="11"/>
        <v>6.8038043645674451E-2</v>
      </c>
      <c r="Q20" s="55">
        <f t="shared" si="11"/>
        <v>6.7997038546073529E-2</v>
      </c>
      <c r="R20" s="55">
        <f t="shared" si="11"/>
        <v>6.7946791335498746E-2</v>
      </c>
      <c r="S20" s="55">
        <f t="shared" si="11"/>
        <v>6.7888045802553254E-2</v>
      </c>
      <c r="T20" s="55">
        <f t="shared" si="11"/>
        <v>6.7821501777902915E-2</v>
      </c>
      <c r="U20" s="55">
        <f t="shared" si="11"/>
        <v>6.7747816849716314E-2</v>
      </c>
      <c r="V20" s="55">
        <f t="shared" si="11"/>
        <v>6.7667608135577373E-2</v>
      </c>
      <c r="W20" s="55">
        <f t="shared" si="11"/>
        <v>6.7581454085927195E-2</v>
      </c>
      <c r="X20" s="55">
        <f t="shared" si="11"/>
        <v>6.7489896298042806E-2</v>
      </c>
      <c r="Y20" s="55">
        <f t="shared" si="11"/>
        <v>6.7393441323023051E-2</v>
      </c>
      <c r="Z20" s="55">
        <f t="shared" si="11"/>
        <v>6.7292562451335192E-2</v>
      </c>
      <c r="AA20" s="55">
        <f t="shared" si="11"/>
        <v>5.6681066343397646E-2</v>
      </c>
      <c r="AB20" s="55">
        <f t="shared" si="11"/>
        <v>4.3880771741583002E-2</v>
      </c>
      <c r="AC20" s="55">
        <f t="shared" si="11"/>
        <v>3.2088545715721395E-2</v>
      </c>
      <c r="AD20" s="55">
        <f t="shared" si="11"/>
        <v>6.7993851160945695E-3</v>
      </c>
      <c r="AE20" s="55">
        <f t="shared" si="11"/>
        <v>6.9223023444668907E-3</v>
      </c>
      <c r="AF20" s="55">
        <f t="shared" si="11"/>
        <v>7.0465813365720997E-3</v>
      </c>
      <c r="AG20" s="55">
        <f t="shared" si="11"/>
        <v>7.172206334686182E-3</v>
      </c>
      <c r="AH20" s="55">
        <f t="shared" si="11"/>
        <v>7.2991604085332895E-3</v>
      </c>
    </row>
    <row r="21" spans="1:34" x14ac:dyDescent="0.25">
      <c r="A21" s="7" t="s">
        <v>44</v>
      </c>
      <c r="M21" s="65"/>
      <c r="N21" s="21"/>
    </row>
    <row r="22" spans="1:34" x14ac:dyDescent="0.25">
      <c r="A22" t="s">
        <v>75</v>
      </c>
      <c r="C22" s="8">
        <f>508-178+42</f>
        <v>372</v>
      </c>
      <c r="D22" s="8">
        <v>347</v>
      </c>
      <c r="E22" s="8">
        <f>563-229+46</f>
        <v>380</v>
      </c>
      <c r="F22" s="8">
        <f>589-252+43</f>
        <v>380</v>
      </c>
      <c r="G22" s="8">
        <f>45+565-207</f>
        <v>403</v>
      </c>
      <c r="H22" s="8">
        <f>598-221+48</f>
        <v>425</v>
      </c>
      <c r="I22" s="100">
        <f>440+51</f>
        <v>491</v>
      </c>
      <c r="J22" s="100">
        <f>405+49+4-19</f>
        <v>439</v>
      </c>
      <c r="K22" s="100">
        <f>341+38-2-22</f>
        <v>355</v>
      </c>
      <c r="L22" s="100">
        <f>380+71+3-28</f>
        <v>426</v>
      </c>
      <c r="M22" s="92">
        <v>459.32612999999975</v>
      </c>
      <c r="N22" s="40">
        <v>426.33927830839821</v>
      </c>
      <c r="O22" s="9">
        <f t="shared" ref="O22:AD23" si="12">+N22*(1+O$9)</f>
        <v>436.99776026610812</v>
      </c>
      <c r="P22" s="9">
        <f t="shared" si="12"/>
        <v>447.92270427276077</v>
      </c>
      <c r="Q22" s="9">
        <f t="shared" si="12"/>
        <v>459.12077187957976</v>
      </c>
      <c r="R22" s="9">
        <f t="shared" si="12"/>
        <v>470.59879117656919</v>
      </c>
      <c r="S22" s="9">
        <f t="shared" si="12"/>
        <v>482.36376095598337</v>
      </c>
      <c r="T22" s="9">
        <f t="shared" si="12"/>
        <v>494.42285497988291</v>
      </c>
      <c r="U22" s="9">
        <f t="shared" si="12"/>
        <v>506.78342635437997</v>
      </c>
      <c r="V22" s="9">
        <f t="shared" si="12"/>
        <v>519.45301201323946</v>
      </c>
      <c r="W22" s="9">
        <f t="shared" si="12"/>
        <v>532.43933731357038</v>
      </c>
      <c r="X22" s="9">
        <f t="shared" si="12"/>
        <v>545.75032074640956</v>
      </c>
      <c r="Y22" s="9">
        <f t="shared" si="12"/>
        <v>559.39407876506971</v>
      </c>
      <c r="Z22" s="9">
        <f t="shared" si="12"/>
        <v>573.37893073419639</v>
      </c>
      <c r="AA22" s="9">
        <f t="shared" si="12"/>
        <v>587.71340400255121</v>
      </c>
      <c r="AB22" s="9">
        <f t="shared" si="12"/>
        <v>602.4062391026149</v>
      </c>
      <c r="AC22" s="9">
        <f t="shared" si="12"/>
        <v>617.46639508018018</v>
      </c>
      <c r="AD22" s="9">
        <f t="shared" si="12"/>
        <v>632.90305495718462</v>
      </c>
      <c r="AE22" s="9">
        <f t="shared" ref="AD22:AH23" si="13">+AD22*(1+AE$9)</f>
        <v>648.72563133111419</v>
      </c>
      <c r="AF22" s="9">
        <f t="shared" si="13"/>
        <v>664.943772114392</v>
      </c>
      <c r="AG22" s="9">
        <f t="shared" si="13"/>
        <v>681.56736641725172</v>
      </c>
      <c r="AH22" s="9">
        <f t="shared" si="13"/>
        <v>698.60655057768292</v>
      </c>
    </row>
    <row r="23" spans="1:34" x14ac:dyDescent="0.25">
      <c r="A23" t="s">
        <v>8</v>
      </c>
      <c r="C23" s="8">
        <v>772</v>
      </c>
      <c r="D23" s="8">
        <v>733</v>
      </c>
      <c r="E23" s="8">
        <v>698</v>
      </c>
      <c r="F23" s="8">
        <v>729</v>
      </c>
      <c r="G23" s="8">
        <v>748</v>
      </c>
      <c r="H23" s="8">
        <v>731</v>
      </c>
      <c r="I23" s="100">
        <v>723</v>
      </c>
      <c r="J23" s="100">
        <f>737-31</f>
        <v>706</v>
      </c>
      <c r="K23" s="100">
        <f>776-33</f>
        <v>743</v>
      </c>
      <c r="L23" s="100">
        <f>763-33</f>
        <v>730</v>
      </c>
      <c r="M23" s="92">
        <v>722.10502999999994</v>
      </c>
      <c r="N23" s="40">
        <v>756.40921958444835</v>
      </c>
      <c r="O23" s="9">
        <f t="shared" si="12"/>
        <v>775.31945007405955</v>
      </c>
      <c r="P23" s="9">
        <f t="shared" si="12"/>
        <v>794.70243632591098</v>
      </c>
      <c r="Q23" s="9">
        <f t="shared" si="12"/>
        <v>814.56999723405863</v>
      </c>
      <c r="R23" s="9">
        <f t="shared" si="12"/>
        <v>834.93424716491006</v>
      </c>
      <c r="S23" s="9">
        <f t="shared" si="12"/>
        <v>855.80760334403271</v>
      </c>
      <c r="T23" s="9">
        <f t="shared" si="12"/>
        <v>877.20279342763342</v>
      </c>
      <c r="U23" s="9">
        <f t="shared" si="12"/>
        <v>899.13286326332423</v>
      </c>
      <c r="V23" s="9">
        <f t="shared" si="12"/>
        <v>921.61118484490726</v>
      </c>
      <c r="W23" s="9">
        <f t="shared" si="12"/>
        <v>944.65146446602989</v>
      </c>
      <c r="X23" s="9">
        <f t="shared" si="12"/>
        <v>968.2677510776806</v>
      </c>
      <c r="Y23" s="9">
        <f t="shared" si="12"/>
        <v>992.47444485462256</v>
      </c>
      <c r="Z23" s="9">
        <f t="shared" si="12"/>
        <v>1017.2863059759881</v>
      </c>
      <c r="AA23" s="9">
        <f t="shared" si="12"/>
        <v>1042.7184636253876</v>
      </c>
      <c r="AB23" s="9">
        <f t="shared" si="12"/>
        <v>1068.7864252160223</v>
      </c>
      <c r="AC23" s="9">
        <f t="shared" si="12"/>
        <v>1095.5060858464228</v>
      </c>
      <c r="AD23" s="9">
        <f t="shared" si="13"/>
        <v>1122.8937379925833</v>
      </c>
      <c r="AE23" s="9">
        <f t="shared" si="13"/>
        <v>1150.9660814423978</v>
      </c>
      <c r="AF23" s="9">
        <f t="shared" si="13"/>
        <v>1179.7402334784576</v>
      </c>
      <c r="AG23" s="9">
        <f t="shared" si="13"/>
        <v>1209.2337393154189</v>
      </c>
      <c r="AH23" s="9">
        <f t="shared" si="13"/>
        <v>1239.4645827983043</v>
      </c>
    </row>
    <row r="24" spans="1:34" x14ac:dyDescent="0.25">
      <c r="A24" t="s">
        <v>30</v>
      </c>
      <c r="C24" s="8">
        <v>0</v>
      </c>
      <c r="D24" s="8">
        <v>0</v>
      </c>
      <c r="E24" s="8">
        <v>0</v>
      </c>
      <c r="F24" s="8">
        <v>0</v>
      </c>
      <c r="G24" s="8">
        <v>0</v>
      </c>
      <c r="H24" s="8">
        <v>0</v>
      </c>
      <c r="I24" s="100">
        <f t="shared" ref="I24:AH24" si="14">+H24*(1+I9)</f>
        <v>0</v>
      </c>
      <c r="J24" s="100">
        <f t="shared" si="14"/>
        <v>0</v>
      </c>
      <c r="K24" s="100">
        <f t="shared" si="14"/>
        <v>0</v>
      </c>
      <c r="L24" s="100">
        <f t="shared" si="14"/>
        <v>0</v>
      </c>
      <c r="M24" s="92">
        <f t="shared" si="14"/>
        <v>0</v>
      </c>
      <c r="N24" s="40">
        <f t="shared" si="14"/>
        <v>0</v>
      </c>
      <c r="O24" s="9">
        <f t="shared" si="14"/>
        <v>0</v>
      </c>
      <c r="P24" s="9">
        <f t="shared" si="14"/>
        <v>0</v>
      </c>
      <c r="Q24" s="9">
        <f t="shared" si="14"/>
        <v>0</v>
      </c>
      <c r="R24" s="9">
        <f t="shared" si="14"/>
        <v>0</v>
      </c>
      <c r="S24" s="9">
        <f t="shared" si="14"/>
        <v>0</v>
      </c>
      <c r="T24" s="9">
        <f t="shared" si="14"/>
        <v>0</v>
      </c>
      <c r="U24" s="9">
        <f t="shared" si="14"/>
        <v>0</v>
      </c>
      <c r="V24" s="9">
        <f t="shared" si="14"/>
        <v>0</v>
      </c>
      <c r="W24" s="9">
        <f t="shared" si="14"/>
        <v>0</v>
      </c>
      <c r="X24" s="9">
        <f t="shared" si="14"/>
        <v>0</v>
      </c>
      <c r="Y24" s="9">
        <f t="shared" si="14"/>
        <v>0</v>
      </c>
      <c r="Z24" s="9">
        <f t="shared" si="14"/>
        <v>0</v>
      </c>
      <c r="AA24" s="9">
        <f t="shared" si="14"/>
        <v>0</v>
      </c>
      <c r="AB24" s="9">
        <f t="shared" si="14"/>
        <v>0</v>
      </c>
      <c r="AC24" s="9">
        <f t="shared" si="14"/>
        <v>0</v>
      </c>
      <c r="AD24" s="9">
        <f t="shared" si="14"/>
        <v>0</v>
      </c>
      <c r="AE24" s="9">
        <f t="shared" si="14"/>
        <v>0</v>
      </c>
      <c r="AF24" s="9">
        <f t="shared" si="14"/>
        <v>0</v>
      </c>
      <c r="AG24" s="9">
        <f t="shared" si="14"/>
        <v>0</v>
      </c>
      <c r="AH24" s="9">
        <f t="shared" si="14"/>
        <v>0</v>
      </c>
    </row>
    <row r="25" spans="1:34" x14ac:dyDescent="0.25">
      <c r="A25" t="s">
        <v>9</v>
      </c>
      <c r="C25" s="8">
        <f>116+42-47</f>
        <v>111</v>
      </c>
      <c r="D25" s="8">
        <v>81</v>
      </c>
      <c r="E25" s="8">
        <f>98+46-57</f>
        <v>87</v>
      </c>
      <c r="F25" s="8">
        <f>111-13</f>
        <v>98</v>
      </c>
      <c r="G25" s="8">
        <f>118-3</f>
        <v>115</v>
      </c>
      <c r="H25" s="8">
        <v>111</v>
      </c>
      <c r="I25" s="100">
        <v>105</v>
      </c>
      <c r="J25" s="100">
        <v>120</v>
      </c>
      <c r="K25" s="100">
        <v>152</v>
      </c>
      <c r="L25" s="100">
        <v>114</v>
      </c>
      <c r="M25" s="92">
        <v>144.54635000000002</v>
      </c>
      <c r="N25" s="40">
        <v>107.99624118340435</v>
      </c>
      <c r="O25" s="9">
        <f t="shared" ref="O25:AH25" si="15">+N25*(1+O$9)*1.03</f>
        <v>114.01703162937913</v>
      </c>
      <c r="P25" s="9">
        <f t="shared" si="15"/>
        <v>120.37348114271701</v>
      </c>
      <c r="Q25" s="9">
        <f t="shared" si="15"/>
        <v>127.08430271642348</v>
      </c>
      <c r="R25" s="9">
        <f t="shared" si="15"/>
        <v>134.1692525928641</v>
      </c>
      <c r="S25" s="9">
        <f t="shared" si="15"/>
        <v>141.64918842491628</v>
      </c>
      <c r="T25" s="9">
        <f t="shared" si="15"/>
        <v>149.54613067960534</v>
      </c>
      <c r="U25" s="9">
        <f t="shared" si="15"/>
        <v>157.88332746499333</v>
      </c>
      <c r="V25" s="9">
        <f t="shared" si="15"/>
        <v>166.6853229711667</v>
      </c>
      <c r="W25" s="9">
        <f t="shared" si="15"/>
        <v>175.97802972680924</v>
      </c>
      <c r="X25" s="9">
        <f t="shared" si="15"/>
        <v>185.78880488407884</v>
      </c>
      <c r="Y25" s="9">
        <f t="shared" si="15"/>
        <v>196.14653075636622</v>
      </c>
      <c r="Z25" s="9">
        <f t="shared" si="15"/>
        <v>207.08169984603362</v>
      </c>
      <c r="AA25" s="9">
        <f t="shared" si="15"/>
        <v>218.62650461244996</v>
      </c>
      <c r="AB25" s="9">
        <f t="shared" si="15"/>
        <v>230.81493224459405</v>
      </c>
      <c r="AC25" s="9">
        <f t="shared" si="15"/>
        <v>243.68286471723016</v>
      </c>
      <c r="AD25" s="9">
        <f t="shared" si="15"/>
        <v>257.26818442521574</v>
      </c>
      <c r="AE25" s="9">
        <f t="shared" si="15"/>
        <v>271.61088570692152</v>
      </c>
      <c r="AF25" s="9">
        <f t="shared" si="15"/>
        <v>286.75319258508239</v>
      </c>
      <c r="AG25" s="9">
        <f t="shared" si="15"/>
        <v>302.73968307170071</v>
      </c>
      <c r="AH25" s="9">
        <f t="shared" si="15"/>
        <v>319.61742040294803</v>
      </c>
    </row>
    <row r="26" spans="1:34" x14ac:dyDescent="0.25">
      <c r="A26" t="s">
        <v>10</v>
      </c>
      <c r="C26" s="8">
        <v>22</v>
      </c>
      <c r="D26" s="8">
        <v>14</v>
      </c>
      <c r="E26" s="8">
        <v>31</v>
      </c>
      <c r="F26" s="8">
        <v>15</v>
      </c>
      <c r="G26" s="8">
        <v>18</v>
      </c>
      <c r="H26" s="8">
        <v>10</v>
      </c>
      <c r="I26" s="8">
        <v>30</v>
      </c>
      <c r="J26" s="8">
        <v>38</v>
      </c>
      <c r="K26" s="100">
        <v>31</v>
      </c>
      <c r="L26" s="100">
        <v>40</v>
      </c>
      <c r="M26" s="92">
        <v>57.382570000000122</v>
      </c>
      <c r="N26" s="40">
        <v>8.6948214311717891</v>
      </c>
      <c r="O26" s="9">
        <f t="shared" ref="O26:AD29" si="16">+N26*(1+O$9)</f>
        <v>8.9121919669510827</v>
      </c>
      <c r="P26" s="9">
        <f t="shared" si="16"/>
        <v>9.1349967661248588</v>
      </c>
      <c r="Q26" s="9">
        <f t="shared" si="16"/>
        <v>9.3633716852779791</v>
      </c>
      <c r="R26" s="9">
        <f t="shared" si="16"/>
        <v>9.5974559774099273</v>
      </c>
      <c r="S26" s="9">
        <f t="shared" si="16"/>
        <v>9.837392376845175</v>
      </c>
      <c r="T26" s="9">
        <f t="shared" si="16"/>
        <v>10.083327186266304</v>
      </c>
      <c r="U26" s="9">
        <f t="shared" si="16"/>
        <v>10.335410365922961</v>
      </c>
      <c r="V26" s="9">
        <f t="shared" si="16"/>
        <v>10.593795625071033</v>
      </c>
      <c r="W26" s="9">
        <f t="shared" si="16"/>
        <v>10.858640515697807</v>
      </c>
      <c r="X26" s="9">
        <f t="shared" si="16"/>
        <v>11.130106528590252</v>
      </c>
      <c r="Y26" s="9">
        <f t="shared" si="16"/>
        <v>11.408359191805008</v>
      </c>
      <c r="Z26" s="9">
        <f t="shared" si="16"/>
        <v>11.693568171600132</v>
      </c>
      <c r="AA26" s="9">
        <f t="shared" si="16"/>
        <v>11.985907375890134</v>
      </c>
      <c r="AB26" s="9">
        <f t="shared" si="16"/>
        <v>12.285555060287386</v>
      </c>
      <c r="AC26" s="9">
        <f t="shared" si="16"/>
        <v>12.59269393679457</v>
      </c>
      <c r="AD26" s="9">
        <f t="shared" si="16"/>
        <v>12.907511285214433</v>
      </c>
      <c r="AE26" s="9">
        <f t="shared" ref="AB26:AH29" si="17">+AD26*(1+AE$9)</f>
        <v>13.230199067344792</v>
      </c>
      <c r="AF26" s="9">
        <f t="shared" si="17"/>
        <v>13.56095404402841</v>
      </c>
      <c r="AG26" s="9">
        <f t="shared" si="17"/>
        <v>13.899977895129119</v>
      </c>
      <c r="AH26" s="9">
        <f t="shared" si="17"/>
        <v>14.247477342507345</v>
      </c>
    </row>
    <row r="27" spans="1:34" x14ac:dyDescent="0.25">
      <c r="A27" t="s">
        <v>11</v>
      </c>
      <c r="C27" s="8">
        <f>15-9</f>
        <v>6</v>
      </c>
      <c r="D27" s="8">
        <v>4</v>
      </c>
      <c r="E27" s="8">
        <v>8</v>
      </c>
      <c r="F27" s="8">
        <v>8</v>
      </c>
      <c r="G27" s="8">
        <v>13</v>
      </c>
      <c r="H27" s="8">
        <v>11</v>
      </c>
      <c r="I27" s="100">
        <v>19</v>
      </c>
      <c r="J27" s="100">
        <v>13</v>
      </c>
      <c r="K27" s="100">
        <v>11</v>
      </c>
      <c r="L27" s="100">
        <v>15</v>
      </c>
      <c r="M27" s="92">
        <v>34.178429999999992</v>
      </c>
      <c r="N27" s="40">
        <v>42.716325906078126</v>
      </c>
      <c r="O27" s="9">
        <f t="shared" si="16"/>
        <v>43.784234053730074</v>
      </c>
      <c r="P27" s="9">
        <f t="shared" si="16"/>
        <v>44.87883990507332</v>
      </c>
      <c r="Q27" s="9">
        <f t="shared" si="16"/>
        <v>46.000810902700152</v>
      </c>
      <c r="R27" s="9">
        <f t="shared" si="16"/>
        <v>47.150831175267655</v>
      </c>
      <c r="S27" s="9">
        <f t="shared" si="16"/>
        <v>48.329601954649341</v>
      </c>
      <c r="T27" s="9">
        <f t="shared" si="16"/>
        <v>49.537842003515571</v>
      </c>
      <c r="U27" s="9">
        <f t="shared" si="16"/>
        <v>50.776288053603459</v>
      </c>
      <c r="V27" s="9">
        <f t="shared" si="16"/>
        <v>52.045695254943539</v>
      </c>
      <c r="W27" s="9">
        <f t="shared" si="16"/>
        <v>53.346837636317119</v>
      </c>
      <c r="X27" s="9">
        <f t="shared" si="16"/>
        <v>54.680508577225041</v>
      </c>
      <c r="Y27" s="9">
        <f t="shared" si="16"/>
        <v>56.047521291655663</v>
      </c>
      <c r="Z27" s="9">
        <f t="shared" si="16"/>
        <v>57.44870932394705</v>
      </c>
      <c r="AA27" s="9">
        <f t="shared" si="16"/>
        <v>58.884927057045722</v>
      </c>
      <c r="AB27" s="9">
        <f t="shared" si="16"/>
        <v>60.35705023347186</v>
      </c>
      <c r="AC27" s="9">
        <f t="shared" si="16"/>
        <v>61.86597648930865</v>
      </c>
      <c r="AD27" s="9">
        <f t="shared" si="16"/>
        <v>63.412625901541361</v>
      </c>
      <c r="AE27" s="9">
        <f t="shared" si="17"/>
        <v>64.997941549079883</v>
      </c>
      <c r="AF27" s="9">
        <f t="shared" si="17"/>
        <v>66.62289008780688</v>
      </c>
      <c r="AG27" s="9">
        <f t="shared" si="17"/>
        <v>68.288462340002042</v>
      </c>
      <c r="AH27" s="9">
        <f t="shared" si="17"/>
        <v>69.995673898502091</v>
      </c>
    </row>
    <row r="28" spans="1:34" x14ac:dyDescent="0.25">
      <c r="A28" t="s">
        <v>13</v>
      </c>
      <c r="C28" s="8">
        <v>32</v>
      </c>
      <c r="D28" s="8">
        <v>29</v>
      </c>
      <c r="E28" s="8">
        <v>30</v>
      </c>
      <c r="F28" s="8">
        <v>30</v>
      </c>
      <c r="G28" s="8">
        <v>20</v>
      </c>
      <c r="H28" s="8">
        <v>22</v>
      </c>
      <c r="I28" s="100">
        <v>22</v>
      </c>
      <c r="J28" s="100">
        <v>19</v>
      </c>
      <c r="K28" s="100">
        <v>22</v>
      </c>
      <c r="L28" s="100">
        <v>28</v>
      </c>
      <c r="M28" s="92">
        <v>32.895189999999999</v>
      </c>
      <c r="N28" s="40">
        <v>40.103999999999999</v>
      </c>
      <c r="O28" s="9">
        <f t="shared" si="16"/>
        <v>41.106599999999993</v>
      </c>
      <c r="P28" s="9">
        <f t="shared" si="16"/>
        <v>42.134264999999992</v>
      </c>
      <c r="Q28" s="9">
        <f t="shared" si="16"/>
        <v>43.187621624999991</v>
      </c>
      <c r="R28" s="9">
        <f t="shared" si="16"/>
        <v>44.267312165624986</v>
      </c>
      <c r="S28" s="9">
        <f t="shared" si="16"/>
        <v>45.373994969765604</v>
      </c>
      <c r="T28" s="9">
        <f t="shared" si="16"/>
        <v>46.508344844009741</v>
      </c>
      <c r="U28" s="9">
        <f t="shared" si="16"/>
        <v>47.671053465109978</v>
      </c>
      <c r="V28" s="9">
        <f t="shared" si="16"/>
        <v>48.862829801737725</v>
      </c>
      <c r="W28" s="9">
        <f t="shared" si="16"/>
        <v>50.084400546781161</v>
      </c>
      <c r="X28" s="9">
        <f t="shared" si="16"/>
        <v>51.336510560450684</v>
      </c>
      <c r="Y28" s="9">
        <f t="shared" si="16"/>
        <v>52.619923324461944</v>
      </c>
      <c r="Z28" s="9">
        <f t="shared" si="16"/>
        <v>53.935421407573486</v>
      </c>
      <c r="AA28" s="9">
        <f t="shared" si="16"/>
        <v>55.283806942762816</v>
      </c>
      <c r="AB28" s="9">
        <f t="shared" si="17"/>
        <v>56.665902116331878</v>
      </c>
      <c r="AC28" s="9">
        <f t="shared" si="17"/>
        <v>58.082549669240173</v>
      </c>
      <c r="AD28" s="9">
        <f t="shared" si="17"/>
        <v>59.534613410971168</v>
      </c>
      <c r="AE28" s="9">
        <f t="shared" si="17"/>
        <v>61.022978746245442</v>
      </c>
      <c r="AF28" s="9">
        <f t="shared" si="17"/>
        <v>62.548553214901574</v>
      </c>
      <c r="AG28" s="9">
        <f t="shared" si="17"/>
        <v>64.112267045274109</v>
      </c>
      <c r="AH28" s="9">
        <f t="shared" si="17"/>
        <v>65.715073721405957</v>
      </c>
    </row>
    <row r="29" spans="1:34" x14ac:dyDescent="0.25">
      <c r="A29" t="s">
        <v>14</v>
      </c>
      <c r="C29" s="8">
        <v>42</v>
      </c>
      <c r="D29" s="8">
        <v>46</v>
      </c>
      <c r="E29" s="8">
        <v>45</v>
      </c>
      <c r="F29" s="8">
        <v>50</v>
      </c>
      <c r="G29" s="8">
        <v>42</v>
      </c>
      <c r="H29" s="8">
        <v>39</v>
      </c>
      <c r="I29" s="100">
        <v>31</v>
      </c>
      <c r="J29" s="100">
        <v>31</v>
      </c>
      <c r="K29" s="100">
        <v>33</v>
      </c>
      <c r="L29" s="100">
        <v>33</v>
      </c>
      <c r="M29" s="92">
        <v>52.671199999999999</v>
      </c>
      <c r="N29" s="40">
        <v>27</v>
      </c>
      <c r="O29" s="9">
        <f t="shared" si="16"/>
        <v>27.674999999999997</v>
      </c>
      <c r="P29" s="9">
        <f t="shared" si="16"/>
        <v>28.366874999999993</v>
      </c>
      <c r="Q29" s="9">
        <f t="shared" si="16"/>
        <v>29.076046874999989</v>
      </c>
      <c r="R29" s="9">
        <f t="shared" si="16"/>
        <v>29.802948046874985</v>
      </c>
      <c r="S29" s="9">
        <f t="shared" si="16"/>
        <v>30.548021748046857</v>
      </c>
      <c r="T29" s="9">
        <f t="shared" si="16"/>
        <v>31.311722291748026</v>
      </c>
      <c r="U29" s="9">
        <f t="shared" si="16"/>
        <v>32.094515349041721</v>
      </c>
      <c r="V29" s="9">
        <f t="shared" si="16"/>
        <v>32.896878232767762</v>
      </c>
      <c r="W29" s="9">
        <f t="shared" si="16"/>
        <v>33.719300188586949</v>
      </c>
      <c r="X29" s="9">
        <f t="shared" si="16"/>
        <v>34.562282693301619</v>
      </c>
      <c r="Y29" s="9">
        <f t="shared" si="16"/>
        <v>35.426339760634157</v>
      </c>
      <c r="Z29" s="9">
        <f t="shared" si="16"/>
        <v>36.311998254650007</v>
      </c>
      <c r="AA29" s="9">
        <f t="shared" si="16"/>
        <v>37.219798211016254</v>
      </c>
      <c r="AB29" s="9">
        <f t="shared" si="16"/>
        <v>38.150293166291654</v>
      </c>
      <c r="AC29" s="9">
        <f t="shared" si="16"/>
        <v>39.104050495448945</v>
      </c>
      <c r="AD29" s="9">
        <f t="shared" si="17"/>
        <v>40.081651757835168</v>
      </c>
      <c r="AE29" s="9">
        <f t="shared" si="17"/>
        <v>41.08369305178104</v>
      </c>
      <c r="AF29" s="9">
        <f t="shared" si="17"/>
        <v>42.110785378075562</v>
      </c>
      <c r="AG29" s="9">
        <f t="shared" si="17"/>
        <v>43.163555012527446</v>
      </c>
      <c r="AH29" s="9">
        <f t="shared" si="17"/>
        <v>44.242643887840629</v>
      </c>
    </row>
    <row r="30" spans="1:34" s="6" customFormat="1" x14ac:dyDescent="0.25">
      <c r="A30" s="6" t="s">
        <v>45</v>
      </c>
      <c r="C30" s="12">
        <f t="shared" ref="C30:X30" si="18">SUM(C22:C29)</f>
        <v>1357</v>
      </c>
      <c r="D30" s="12">
        <f t="shared" si="18"/>
        <v>1254</v>
      </c>
      <c r="E30" s="12">
        <f t="shared" si="18"/>
        <v>1279</v>
      </c>
      <c r="F30" s="12">
        <f t="shared" si="18"/>
        <v>1310</v>
      </c>
      <c r="G30" s="12">
        <f t="shared" si="18"/>
        <v>1359</v>
      </c>
      <c r="H30" s="12">
        <f t="shared" si="18"/>
        <v>1349</v>
      </c>
      <c r="I30" s="12">
        <f t="shared" si="18"/>
        <v>1421</v>
      </c>
      <c r="J30" s="12">
        <f t="shared" si="18"/>
        <v>1366</v>
      </c>
      <c r="K30" s="12">
        <f t="shared" si="18"/>
        <v>1347</v>
      </c>
      <c r="L30" s="12">
        <f t="shared" si="18"/>
        <v>1386</v>
      </c>
      <c r="M30" s="77">
        <f t="shared" si="18"/>
        <v>1503.1048999999998</v>
      </c>
      <c r="N30" s="31">
        <f t="shared" si="18"/>
        <v>1409.2598864135007</v>
      </c>
      <c r="O30" s="12">
        <f t="shared" si="18"/>
        <v>1447.8122679902278</v>
      </c>
      <c r="P30" s="12">
        <f t="shared" si="18"/>
        <v>1487.513598412587</v>
      </c>
      <c r="Q30" s="12">
        <f t="shared" si="18"/>
        <v>1528.4029229180401</v>
      </c>
      <c r="R30" s="12">
        <f t="shared" si="18"/>
        <v>1570.5208382995211</v>
      </c>
      <c r="S30" s="12">
        <f t="shared" si="18"/>
        <v>1613.9095637742396</v>
      </c>
      <c r="T30" s="12">
        <f t="shared" si="18"/>
        <v>1658.6130154126615</v>
      </c>
      <c r="U30" s="12">
        <f t="shared" si="18"/>
        <v>1704.6768843163757</v>
      </c>
      <c r="V30" s="12">
        <f t="shared" si="18"/>
        <v>1752.1487187438331</v>
      </c>
      <c r="W30" s="12">
        <f t="shared" si="18"/>
        <v>1801.0780103937923</v>
      </c>
      <c r="X30" s="12">
        <f t="shared" si="18"/>
        <v>1851.5162850677366</v>
      </c>
      <c r="Y30" s="12">
        <f t="shared" ref="Y30:AH30" si="19">SUM(Y22:Y29)</f>
        <v>1903.5171979446152</v>
      </c>
      <c r="Z30" s="12">
        <f t="shared" si="19"/>
        <v>1957.1366337139889</v>
      </c>
      <c r="AA30" s="12">
        <f t="shared" si="19"/>
        <v>2012.4328118271035</v>
      </c>
      <c r="AB30" s="12">
        <f t="shared" si="19"/>
        <v>2069.4663971396139</v>
      </c>
      <c r="AC30" s="12">
        <f t="shared" si="19"/>
        <v>2128.3006162346255</v>
      </c>
      <c r="AD30" s="12">
        <f t="shared" si="19"/>
        <v>2189.001379730546</v>
      </c>
      <c r="AE30" s="12">
        <f t="shared" si="19"/>
        <v>2251.6374108948849</v>
      </c>
      <c r="AF30" s="12">
        <f t="shared" si="19"/>
        <v>2316.2803809027441</v>
      </c>
      <c r="AG30" s="12">
        <f t="shared" si="19"/>
        <v>2383.0050510973042</v>
      </c>
      <c r="AH30" s="12">
        <f t="shared" si="19"/>
        <v>2451.8894226291914</v>
      </c>
    </row>
    <row r="31" spans="1:34" x14ac:dyDescent="0.25">
      <c r="A31" s="56" t="s">
        <v>53</v>
      </c>
      <c r="D31" s="55">
        <f>+D30/C30-1</f>
        <v>-7.5902726602800286E-2</v>
      </c>
      <c r="E31" s="55">
        <f t="shared" ref="E31:AH31" si="20">+E30/D30-1</f>
        <v>1.9936204146730363E-2</v>
      </c>
      <c r="F31" s="55">
        <f t="shared" si="20"/>
        <v>2.4237685691946842E-2</v>
      </c>
      <c r="G31" s="55">
        <f t="shared" si="20"/>
        <v>3.7404580152671674E-2</v>
      </c>
      <c r="H31" s="55">
        <f t="shared" si="20"/>
        <v>-7.3583517292126199E-3</v>
      </c>
      <c r="I31" s="55">
        <f t="shared" si="20"/>
        <v>5.3372868791697448E-2</v>
      </c>
      <c r="J31" s="55">
        <f t="shared" si="20"/>
        <v>-3.8705137227304731E-2</v>
      </c>
      <c r="K31" s="55">
        <f t="shared" si="20"/>
        <v>-1.3909224011713017E-2</v>
      </c>
      <c r="L31" s="55">
        <f t="shared" si="20"/>
        <v>2.8953229398663627E-2</v>
      </c>
      <c r="M31" s="75">
        <f t="shared" si="20"/>
        <v>8.4491269841269645E-2</v>
      </c>
      <c r="N31" s="57">
        <f t="shared" si="20"/>
        <v>-6.2434107949817186E-2</v>
      </c>
      <c r="O31" s="55">
        <f t="shared" si="20"/>
        <v>2.7356474095662442E-2</v>
      </c>
      <c r="P31" s="55">
        <f t="shared" si="20"/>
        <v>2.742160105983249E-2</v>
      </c>
      <c r="Q31" s="55">
        <f t="shared" si="20"/>
        <v>2.7488370223363701E-2</v>
      </c>
      <c r="R31" s="55">
        <f t="shared" si="20"/>
        <v>2.7556814207780445E-2</v>
      </c>
      <c r="S31" s="55">
        <f t="shared" si="20"/>
        <v>2.7626965791614388E-2</v>
      </c>
      <c r="T31" s="55">
        <f t="shared" si="20"/>
        <v>2.7698857880165129E-2</v>
      </c>
      <c r="U31" s="55">
        <f t="shared" si="20"/>
        <v>2.777252347332726E-2</v>
      </c>
      <c r="V31" s="55">
        <f t="shared" si="20"/>
        <v>2.7847995631439026E-2</v>
      </c>
      <c r="W31" s="55">
        <f t="shared" si="20"/>
        <v>2.7925307439107039E-2</v>
      </c>
      <c r="X31" s="55">
        <f t="shared" si="20"/>
        <v>2.8004491966961753E-2</v>
      </c>
      <c r="Y31" s="55">
        <f t="shared" si="20"/>
        <v>2.8085582231309525E-2</v>
      </c>
      <c r="Z31" s="55">
        <f t="shared" si="20"/>
        <v>2.8168611151646594E-2</v>
      </c>
      <c r="AA31" s="55">
        <f t="shared" si="20"/>
        <v>2.8253611505999476E-2</v>
      </c>
      <c r="AB31" s="55">
        <f t="shared" si="20"/>
        <v>2.8340615884079767E-2</v>
      </c>
      <c r="AC31" s="55">
        <f t="shared" si="20"/>
        <v>2.842965663821917E-2</v>
      </c>
      <c r="AD31" s="55">
        <f t="shared" si="20"/>
        <v>2.8520765832089845E-2</v>
      </c>
      <c r="AE31" s="55">
        <f t="shared" si="20"/>
        <v>2.8613975187191887E-2</v>
      </c>
      <c r="AF31" s="55">
        <f t="shared" si="20"/>
        <v>2.8709316027116349E-2</v>
      </c>
      <c r="AG31" s="55">
        <f t="shared" si="20"/>
        <v>2.8806819219594937E-2</v>
      </c>
      <c r="AH31" s="55">
        <f t="shared" si="20"/>
        <v>2.8906515116351894E-2</v>
      </c>
    </row>
    <row r="32" spans="1:34" x14ac:dyDescent="0.25">
      <c r="A32" s="42" t="s">
        <v>47</v>
      </c>
      <c r="C32" s="8">
        <v>21</v>
      </c>
      <c r="D32" s="8">
        <v>0</v>
      </c>
      <c r="E32" s="8">
        <v>0</v>
      </c>
      <c r="F32" s="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 s="65">
        <v>0</v>
      </c>
      <c r="N32" s="21">
        <v>0</v>
      </c>
    </row>
    <row r="33" spans="1:34" x14ac:dyDescent="0.25">
      <c r="A33" s="56"/>
      <c r="D33" s="55"/>
      <c r="E33" s="55"/>
      <c r="F33" s="55"/>
      <c r="G33" s="55"/>
      <c r="H33" s="55"/>
      <c r="I33" s="55"/>
      <c r="J33" s="55"/>
      <c r="K33" s="55"/>
      <c r="L33" s="55"/>
      <c r="M33" s="75"/>
      <c r="N33" s="57"/>
      <c r="O33" s="55"/>
      <c r="P33" s="55"/>
      <c r="Q33" s="55"/>
      <c r="R33" s="55"/>
      <c r="S33" s="55"/>
      <c r="T33" s="55"/>
      <c r="U33" s="55"/>
      <c r="V33" s="55"/>
      <c r="W33" s="55"/>
      <c r="X33" s="55"/>
      <c r="Y33" s="55"/>
      <c r="Z33" s="55"/>
      <c r="AA33" s="55"/>
      <c r="AB33" s="55"/>
      <c r="AC33" s="55"/>
      <c r="AD33" s="55"/>
      <c r="AE33" s="55"/>
      <c r="AF33" s="55"/>
      <c r="AG33" s="55"/>
      <c r="AH33" s="55"/>
    </row>
    <row r="34" spans="1:34" x14ac:dyDescent="0.25">
      <c r="A34" s="81" t="s">
        <v>59</v>
      </c>
      <c r="B34" s="82"/>
      <c r="C34" s="83">
        <f t="shared" ref="C34:AH34" si="21">+C19-C30+C32</f>
        <v>-609</v>
      </c>
      <c r="D34" s="83">
        <f t="shared" si="21"/>
        <v>-399</v>
      </c>
      <c r="E34" s="83">
        <f t="shared" si="21"/>
        <v>-285</v>
      </c>
      <c r="F34" s="83">
        <f t="shared" si="21"/>
        <v>-256</v>
      </c>
      <c r="G34" s="83">
        <f t="shared" si="21"/>
        <v>-234</v>
      </c>
      <c r="H34" s="83">
        <f t="shared" si="21"/>
        <v>-223</v>
      </c>
      <c r="I34" s="83">
        <f t="shared" si="21"/>
        <v>-305</v>
      </c>
      <c r="J34" s="83">
        <f t="shared" si="21"/>
        <v>-202</v>
      </c>
      <c r="K34" s="83">
        <f t="shared" si="21"/>
        <v>-167</v>
      </c>
      <c r="L34" s="83">
        <f t="shared" si="21"/>
        <v>-74</v>
      </c>
      <c r="M34" s="84">
        <f t="shared" si="21"/>
        <v>-62.567700000000286</v>
      </c>
      <c r="N34" s="85">
        <f t="shared" si="21"/>
        <v>186.36123830939232</v>
      </c>
      <c r="O34" s="83">
        <f t="shared" si="21"/>
        <v>264.61918235073767</v>
      </c>
      <c r="P34" s="83">
        <f t="shared" si="21"/>
        <v>341.42833768690252</v>
      </c>
      <c r="Q34" s="83">
        <f t="shared" si="21"/>
        <v>424.90164850893689</v>
      </c>
      <c r="R34" s="83">
        <f t="shared" si="21"/>
        <v>515.50451125688051</v>
      </c>
      <c r="S34" s="83">
        <f t="shared" si="21"/>
        <v>613.7319702581342</v>
      </c>
      <c r="T34" s="83">
        <f t="shared" si="21"/>
        <v>720.11051288061913</v>
      </c>
      <c r="U34" s="83">
        <f t="shared" si="21"/>
        <v>835.19996990782897</v>
      </c>
      <c r="V34" s="83">
        <f t="shared" si="21"/>
        <v>959.59552716463782</v>
      </c>
      <c r="W34" s="83">
        <f t="shared" si="21"/>
        <v>1093.9298547623193</v>
      </c>
      <c r="X34" s="83">
        <f t="shared" si="21"/>
        <v>1238.8753606897794</v>
      </c>
      <c r="Y34" s="83">
        <f t="shared" si="21"/>
        <v>1395.1465758564207</v>
      </c>
      <c r="Z34" s="83">
        <f t="shared" si="21"/>
        <v>1563.50267809151</v>
      </c>
      <c r="AA34" s="83">
        <f t="shared" si="21"/>
        <v>1707.7600903820164</v>
      </c>
      <c r="AB34" s="83">
        <f t="shared" si="21"/>
        <v>1813.9714406460016</v>
      </c>
      <c r="AC34" s="83">
        <f t="shared" si="21"/>
        <v>1879.7510941429364</v>
      </c>
      <c r="AD34" s="83">
        <f t="shared" si="21"/>
        <v>1846.3026177910947</v>
      </c>
      <c r="AE34" s="83">
        <f t="shared" si="21"/>
        <v>1811.6001809494364</v>
      </c>
      <c r="AF34" s="83">
        <f t="shared" si="21"/>
        <v>1775.5891451223251</v>
      </c>
      <c r="AG34" s="83">
        <f t="shared" si="21"/>
        <v>1738.2122074630315</v>
      </c>
      <c r="AH34" s="83">
        <f t="shared" si="21"/>
        <v>1699.4092617797924</v>
      </c>
    </row>
    <row r="35" spans="1:34" x14ac:dyDescent="0.25">
      <c r="A35" s="56"/>
      <c r="D35" s="55"/>
      <c r="E35" s="55"/>
      <c r="F35" s="55"/>
      <c r="G35" s="55"/>
      <c r="H35" s="55"/>
      <c r="I35" s="55"/>
      <c r="J35" s="55"/>
      <c r="K35" s="55"/>
      <c r="L35" s="55"/>
      <c r="M35" s="133"/>
      <c r="N35" s="57"/>
      <c r="O35" s="55"/>
      <c r="P35" s="55"/>
      <c r="Q35" s="55"/>
      <c r="R35" s="55"/>
      <c r="S35" s="55"/>
      <c r="T35" s="55"/>
      <c r="U35" s="55"/>
      <c r="V35" s="55"/>
      <c r="W35" s="55"/>
      <c r="X35" s="55"/>
      <c r="Y35" s="55"/>
      <c r="Z35" s="55"/>
      <c r="AA35" s="55"/>
      <c r="AB35" s="55"/>
      <c r="AC35" s="55"/>
      <c r="AD35" s="55"/>
      <c r="AE35" s="55"/>
      <c r="AF35" s="55"/>
      <c r="AG35" s="55"/>
      <c r="AH35" s="55"/>
    </row>
    <row r="36" spans="1:34" x14ac:dyDescent="0.25">
      <c r="A36" t="s">
        <v>23</v>
      </c>
      <c r="C36" s="8">
        <v>-5</v>
      </c>
      <c r="D36" s="8">
        <v>-3</v>
      </c>
      <c r="E36" s="8">
        <v>-35</v>
      </c>
      <c r="F36" s="8">
        <v>-5</v>
      </c>
      <c r="G36" s="63">
        <v>-4</v>
      </c>
      <c r="H36" s="63">
        <v>-16</v>
      </c>
      <c r="I36" s="63">
        <v>-17</v>
      </c>
      <c r="J36" s="116">
        <v>-3</v>
      </c>
      <c r="K36" s="63">
        <v>0</v>
      </c>
      <c r="L36" s="63">
        <v>-27</v>
      </c>
      <c r="M36" s="76">
        <v>0</v>
      </c>
      <c r="N36" s="41">
        <v>0</v>
      </c>
      <c r="O36" s="15">
        <v>-15</v>
      </c>
      <c r="P36" s="15">
        <v>-15</v>
      </c>
      <c r="Q36" s="15">
        <v>-15</v>
      </c>
      <c r="R36" s="15">
        <v>-15</v>
      </c>
      <c r="S36" s="15">
        <v>-15</v>
      </c>
      <c r="T36" s="15">
        <v>-15</v>
      </c>
      <c r="U36" s="15">
        <v>-15</v>
      </c>
      <c r="V36" s="15">
        <v>-15</v>
      </c>
      <c r="W36" s="15">
        <v>-15</v>
      </c>
      <c r="X36" s="15">
        <v>-15</v>
      </c>
      <c r="Y36" s="15">
        <v>-15</v>
      </c>
      <c r="Z36" s="15">
        <v>-15</v>
      </c>
      <c r="AA36" s="15">
        <v>-15</v>
      </c>
      <c r="AB36" s="15">
        <v>-15</v>
      </c>
      <c r="AC36" s="15">
        <v>-15</v>
      </c>
      <c r="AD36" s="15">
        <v>-15</v>
      </c>
      <c r="AE36" s="15">
        <v>-15</v>
      </c>
      <c r="AF36" s="15">
        <v>-15</v>
      </c>
      <c r="AG36" s="15">
        <v>-15</v>
      </c>
      <c r="AH36" s="15">
        <v>-15</v>
      </c>
    </row>
    <row r="37" spans="1:34" x14ac:dyDescent="0.25">
      <c r="A37" t="s">
        <v>42</v>
      </c>
      <c r="C37" s="8">
        <f>10+15+2+13-11</f>
        <v>29</v>
      </c>
      <c r="D37" s="10">
        <v>26</v>
      </c>
      <c r="E37" s="10">
        <v>26</v>
      </c>
      <c r="F37" s="112">
        <v>47</v>
      </c>
      <c r="G37" s="112">
        <v>36</v>
      </c>
      <c r="H37" s="113">
        <v>-44</v>
      </c>
      <c r="I37" s="54">
        <v>-59</v>
      </c>
      <c r="J37" s="102">
        <v>8</v>
      </c>
      <c r="K37" s="43">
        <v>-56</v>
      </c>
      <c r="L37" s="43">
        <v>50</v>
      </c>
      <c r="M37" s="65">
        <v>0</v>
      </c>
      <c r="N37" s="21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</row>
    <row r="38" spans="1:34" x14ac:dyDescent="0.25">
      <c r="C38" s="8"/>
      <c r="D38" s="10"/>
      <c r="E38" s="10"/>
      <c r="F38" s="10"/>
      <c r="G38" s="10"/>
      <c r="H38" s="11"/>
      <c r="M38" s="65"/>
      <c r="N38" s="21"/>
    </row>
    <row r="39" spans="1:34" x14ac:dyDescent="0.25">
      <c r="A39" s="81" t="s">
        <v>60</v>
      </c>
      <c r="B39" s="82"/>
      <c r="C39" s="83">
        <f t="shared" ref="C39:AC39" si="22">SUM(C34:C37)</f>
        <v>-585</v>
      </c>
      <c r="D39" s="83">
        <f t="shared" si="22"/>
        <v>-376</v>
      </c>
      <c r="E39" s="83">
        <f t="shared" si="22"/>
        <v>-294</v>
      </c>
      <c r="F39" s="83">
        <f t="shared" si="22"/>
        <v>-214</v>
      </c>
      <c r="G39" s="83">
        <f t="shared" si="22"/>
        <v>-202</v>
      </c>
      <c r="H39" s="83">
        <f t="shared" si="22"/>
        <v>-283</v>
      </c>
      <c r="I39" s="83">
        <f t="shared" si="22"/>
        <v>-381</v>
      </c>
      <c r="J39" s="83">
        <f t="shared" si="22"/>
        <v>-197</v>
      </c>
      <c r="K39" s="83">
        <f t="shared" si="22"/>
        <v>-223</v>
      </c>
      <c r="L39" s="83">
        <f t="shared" si="22"/>
        <v>-51</v>
      </c>
      <c r="M39" s="84">
        <f t="shared" si="22"/>
        <v>-62.567700000000286</v>
      </c>
      <c r="N39" s="85">
        <f t="shared" si="22"/>
        <v>186.36123830939232</v>
      </c>
      <c r="O39" s="83">
        <f t="shared" si="22"/>
        <v>249.61918235073767</v>
      </c>
      <c r="P39" s="83">
        <f t="shared" si="22"/>
        <v>326.42833768690252</v>
      </c>
      <c r="Q39" s="83">
        <f t="shared" si="22"/>
        <v>409.90164850893689</v>
      </c>
      <c r="R39" s="83">
        <f t="shared" si="22"/>
        <v>500.50451125688051</v>
      </c>
      <c r="S39" s="83">
        <f t="shared" si="22"/>
        <v>598.7319702581342</v>
      </c>
      <c r="T39" s="83">
        <f t="shared" si="22"/>
        <v>705.11051288061913</v>
      </c>
      <c r="U39" s="83">
        <f t="shared" si="22"/>
        <v>820.19996990782897</v>
      </c>
      <c r="V39" s="83">
        <f t="shared" si="22"/>
        <v>944.59552716463782</v>
      </c>
      <c r="W39" s="83">
        <f t="shared" si="22"/>
        <v>1078.9298547623193</v>
      </c>
      <c r="X39" s="83">
        <f t="shared" si="22"/>
        <v>1223.8753606897794</v>
      </c>
      <c r="Y39" s="83">
        <f t="shared" si="22"/>
        <v>1380.1465758564207</v>
      </c>
      <c r="Z39" s="83">
        <f t="shared" si="22"/>
        <v>1548.50267809151</v>
      </c>
      <c r="AA39" s="83">
        <f t="shared" si="22"/>
        <v>1692.7600903820164</v>
      </c>
      <c r="AB39" s="83">
        <f t="shared" si="22"/>
        <v>1798.9714406460016</v>
      </c>
      <c r="AC39" s="83">
        <f t="shared" si="22"/>
        <v>1864.7510941429364</v>
      </c>
      <c r="AD39" s="83">
        <f t="shared" ref="AD39:AF39" si="23">SUM(AD34:AD37)</f>
        <v>1831.3026177910947</v>
      </c>
      <c r="AE39" s="83">
        <f t="shared" si="23"/>
        <v>1796.6001809494364</v>
      </c>
      <c r="AF39" s="83">
        <f t="shared" si="23"/>
        <v>1760.5891451223251</v>
      </c>
      <c r="AG39" s="83">
        <f>SUM(AG34:AG37)</f>
        <v>1723.2122074630315</v>
      </c>
      <c r="AH39" s="83">
        <f t="shared" ref="AH39" si="24">SUM(AH34:AH37)</f>
        <v>1684.4092617797924</v>
      </c>
    </row>
    <row r="40" spans="1:34" x14ac:dyDescent="0.25">
      <c r="A40" s="56"/>
      <c r="D40" s="55"/>
      <c r="E40" s="55"/>
      <c r="F40" s="55"/>
      <c r="G40" s="55"/>
      <c r="H40" s="55"/>
      <c r="I40" s="55"/>
      <c r="J40" s="55"/>
      <c r="K40" s="55"/>
      <c r="L40" s="55"/>
      <c r="M40" s="75"/>
      <c r="N40" s="57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/>
      <c r="AB40" s="55"/>
      <c r="AC40" s="55"/>
      <c r="AD40" s="55"/>
      <c r="AE40" s="55"/>
      <c r="AF40" s="55"/>
      <c r="AG40" s="55"/>
      <c r="AH40" s="55"/>
    </row>
    <row r="41" spans="1:34" x14ac:dyDescent="0.25">
      <c r="A41" t="s">
        <v>72</v>
      </c>
      <c r="C41" s="86">
        <v>178</v>
      </c>
      <c r="D41" s="86">
        <v>207</v>
      </c>
      <c r="E41" s="86">
        <v>229</v>
      </c>
      <c r="F41" s="86">
        <v>252</v>
      </c>
      <c r="G41" s="86">
        <v>207</v>
      </c>
      <c r="H41" s="86">
        <v>221</v>
      </c>
      <c r="I41" s="86">
        <v>238</v>
      </c>
      <c r="J41" s="117">
        <v>257</v>
      </c>
      <c r="K41" s="117">
        <v>271</v>
      </c>
      <c r="L41" s="117">
        <v>285</v>
      </c>
      <c r="M41" s="93">
        <v>295.43071000000003</v>
      </c>
      <c r="N41" s="88">
        <v>309.78721114073693</v>
      </c>
      <c r="O41" s="89">
        <f t="shared" ref="O41:AF41" si="25">MAX((N44+(O30-O19)/2)*O11,0)</f>
        <v>307.90873072881925</v>
      </c>
      <c r="P41" s="89">
        <f t="shared" si="25"/>
        <v>308.55499227689421</v>
      </c>
      <c r="Q41" s="89">
        <f t="shared" si="25"/>
        <v>306.6176672502109</v>
      </c>
      <c r="R41" s="89">
        <f t="shared" si="25"/>
        <v>301.78864133964822</v>
      </c>
      <c r="S41" s="89">
        <f t="shared" si="25"/>
        <v>293.73417935856776</v>
      </c>
      <c r="T41" s="89">
        <f t="shared" si="25"/>
        <v>282.09309983671648</v>
      </c>
      <c r="U41" s="89">
        <f t="shared" si="25"/>
        <v>266.47483023609749</v>
      </c>
      <c r="V41" s="89">
        <f t="shared" si="25"/>
        <v>246.45733539134309</v>
      </c>
      <c r="W41" s="89">
        <f t="shared" si="25"/>
        <v>221.58491133524873</v>
      </c>
      <c r="X41" s="89">
        <f t="shared" si="25"/>
        <v>191.36583620254768</v>
      </c>
      <c r="Y41" s="89">
        <f t="shared" si="25"/>
        <v>155.26986941025473</v>
      </c>
      <c r="Z41" s="89">
        <f t="shared" si="25"/>
        <v>112.72558978943414</v>
      </c>
      <c r="AA41" s="89">
        <f t="shared" si="25"/>
        <v>63.718651469895953</v>
      </c>
      <c r="AB41" s="89">
        <f t="shared" si="25"/>
        <v>9.048870263462284</v>
      </c>
      <c r="AC41" s="89">
        <f t="shared" si="25"/>
        <v>0</v>
      </c>
      <c r="AD41" s="89">
        <f t="shared" si="25"/>
        <v>0</v>
      </c>
      <c r="AE41" s="89">
        <f t="shared" si="25"/>
        <v>0</v>
      </c>
      <c r="AF41" s="89">
        <f t="shared" si="25"/>
        <v>0</v>
      </c>
      <c r="AG41" s="89">
        <f>MAX((AF44+(AG30-AG19)/2)*AG11,0)</f>
        <v>0</v>
      </c>
      <c r="AH41" s="89">
        <f t="shared" ref="AH41" si="26">MAX((AG44+(AH30-AH19)/2)*AH11,0)</f>
        <v>0</v>
      </c>
    </row>
    <row r="42" spans="1:34" s="6" customFormat="1" x14ac:dyDescent="0.25">
      <c r="A42" s="6" t="s">
        <v>61</v>
      </c>
      <c r="C42" s="12">
        <f>+C39-C41</f>
        <v>-763</v>
      </c>
      <c r="D42" s="12">
        <f t="shared" ref="D42:AH42" si="27">+D39-D41</f>
        <v>-583</v>
      </c>
      <c r="E42" s="12">
        <f t="shared" si="27"/>
        <v>-523</v>
      </c>
      <c r="F42" s="12">
        <f t="shared" si="27"/>
        <v>-466</v>
      </c>
      <c r="G42" s="12">
        <f t="shared" si="27"/>
        <v>-409</v>
      </c>
      <c r="H42" s="12">
        <f t="shared" si="27"/>
        <v>-504</v>
      </c>
      <c r="I42" s="12">
        <f t="shared" si="27"/>
        <v>-619</v>
      </c>
      <c r="J42" s="12">
        <f t="shared" si="27"/>
        <v>-454</v>
      </c>
      <c r="K42" s="12">
        <f t="shared" si="27"/>
        <v>-494</v>
      </c>
      <c r="L42" s="12">
        <f t="shared" si="27"/>
        <v>-336</v>
      </c>
      <c r="M42" s="77">
        <f t="shared" si="27"/>
        <v>-357.99841000000032</v>
      </c>
      <c r="N42" s="31">
        <f t="shared" si="27"/>
        <v>-123.42597283134461</v>
      </c>
      <c r="O42" s="12">
        <f t="shared" si="27"/>
        <v>-58.289548378081577</v>
      </c>
      <c r="P42" s="12">
        <f t="shared" si="27"/>
        <v>17.873345410008312</v>
      </c>
      <c r="Q42" s="12">
        <f t="shared" si="27"/>
        <v>103.28398125872599</v>
      </c>
      <c r="R42" s="12">
        <f t="shared" si="27"/>
        <v>198.71586991723228</v>
      </c>
      <c r="S42" s="12">
        <f t="shared" si="27"/>
        <v>304.99779089956644</v>
      </c>
      <c r="T42" s="12">
        <f t="shared" si="27"/>
        <v>423.01741304390265</v>
      </c>
      <c r="U42" s="12">
        <f t="shared" si="27"/>
        <v>553.72513967173154</v>
      </c>
      <c r="V42" s="12">
        <f t="shared" si="27"/>
        <v>698.13819177329469</v>
      </c>
      <c r="W42" s="12">
        <f t="shared" si="27"/>
        <v>857.34494342707058</v>
      </c>
      <c r="X42" s="12">
        <f t="shared" si="27"/>
        <v>1032.5095244872318</v>
      </c>
      <c r="Y42" s="12">
        <f t="shared" si="27"/>
        <v>1224.8767064461658</v>
      </c>
      <c r="Z42" s="12">
        <f t="shared" si="27"/>
        <v>1435.7770883020758</v>
      </c>
      <c r="AA42" s="12">
        <f t="shared" si="27"/>
        <v>1629.0414389121204</v>
      </c>
      <c r="AB42" s="12">
        <f t="shared" si="27"/>
        <v>1789.9225703825393</v>
      </c>
      <c r="AC42" s="12">
        <f t="shared" si="27"/>
        <v>1864.7510941429364</v>
      </c>
      <c r="AD42" s="12">
        <f t="shared" si="27"/>
        <v>1831.3026177910947</v>
      </c>
      <c r="AE42" s="12">
        <f t="shared" si="27"/>
        <v>1796.6001809494364</v>
      </c>
      <c r="AF42" s="12">
        <f t="shared" si="27"/>
        <v>1760.5891451223251</v>
      </c>
      <c r="AG42" s="12">
        <f t="shared" si="27"/>
        <v>1723.2122074630315</v>
      </c>
      <c r="AH42" s="12">
        <f t="shared" si="27"/>
        <v>1684.4092617797924</v>
      </c>
    </row>
    <row r="43" spans="1:34" x14ac:dyDescent="0.25">
      <c r="D43" s="11"/>
      <c r="E43" s="11"/>
      <c r="F43" s="11"/>
      <c r="G43" s="11"/>
      <c r="H43" s="11"/>
      <c r="I43" s="11"/>
      <c r="J43" s="11"/>
      <c r="K43" s="11"/>
      <c r="L43" s="11"/>
      <c r="M43" s="65"/>
      <c r="N43" s="21"/>
    </row>
    <row r="44" spans="1:34" x14ac:dyDescent="0.25">
      <c r="A44" s="21" t="s">
        <v>26</v>
      </c>
      <c r="B44" s="21"/>
      <c r="C44" s="22">
        <v>4735</v>
      </c>
      <c r="D44" s="22">
        <v>5318</v>
      </c>
      <c r="E44" s="22">
        <f>5606+229</f>
        <v>5835</v>
      </c>
      <c r="F44" s="22">
        <v>6332</v>
      </c>
      <c r="G44" s="22">
        <v>6730</v>
      </c>
      <c r="H44" s="23">
        <v>7254</v>
      </c>
      <c r="I44" s="23">
        <f>7254+350+238</f>
        <v>7842</v>
      </c>
      <c r="J44" s="23">
        <v>8294</v>
      </c>
      <c r="K44" s="23">
        <v>8790</v>
      </c>
      <c r="L44" s="23">
        <f>8840+285</f>
        <v>9125</v>
      </c>
      <c r="M44" s="78">
        <f t="shared" ref="M44:AH44" si="28">MAX(0,+L44-M42)</f>
        <v>9482.9984100000001</v>
      </c>
      <c r="N44" s="23">
        <f t="shared" si="28"/>
        <v>9606.4243828313447</v>
      </c>
      <c r="O44" s="23">
        <f t="shared" si="28"/>
        <v>9664.7139312094259</v>
      </c>
      <c r="P44" s="23">
        <f t="shared" si="28"/>
        <v>9646.8405857994185</v>
      </c>
      <c r="Q44" s="23">
        <f t="shared" si="28"/>
        <v>9543.5566045406922</v>
      </c>
      <c r="R44" s="23">
        <f t="shared" si="28"/>
        <v>9344.8407346234599</v>
      </c>
      <c r="S44" s="23">
        <f t="shared" si="28"/>
        <v>9039.8429437238938</v>
      </c>
      <c r="T44" s="23">
        <f t="shared" si="28"/>
        <v>8616.8255306799911</v>
      </c>
      <c r="U44" s="23">
        <f t="shared" si="28"/>
        <v>8063.10039100826</v>
      </c>
      <c r="V44" s="23">
        <f t="shared" si="28"/>
        <v>7364.9621992349657</v>
      </c>
      <c r="W44" s="23">
        <f t="shared" si="28"/>
        <v>6507.6172558078952</v>
      </c>
      <c r="X44" s="23">
        <f t="shared" si="28"/>
        <v>5475.1077313206633</v>
      </c>
      <c r="Y44" s="23">
        <f t="shared" si="28"/>
        <v>4250.231024874498</v>
      </c>
      <c r="Z44" s="23">
        <f t="shared" si="28"/>
        <v>2814.4539365724222</v>
      </c>
      <c r="AA44" s="23">
        <f t="shared" si="28"/>
        <v>1185.4124976603018</v>
      </c>
      <c r="AB44" s="23">
        <f t="shared" si="28"/>
        <v>0</v>
      </c>
      <c r="AC44" s="23">
        <f t="shared" si="28"/>
        <v>0</v>
      </c>
      <c r="AD44" s="23">
        <f t="shared" si="28"/>
        <v>0</v>
      </c>
      <c r="AE44" s="23">
        <f t="shared" si="28"/>
        <v>0</v>
      </c>
      <c r="AF44" s="23">
        <f t="shared" si="28"/>
        <v>0</v>
      </c>
      <c r="AG44" s="23">
        <f t="shared" si="28"/>
        <v>0</v>
      </c>
      <c r="AH44" s="23">
        <f t="shared" si="28"/>
        <v>0</v>
      </c>
    </row>
    <row r="45" spans="1:34" x14ac:dyDescent="0.25">
      <c r="A45" s="21" t="s">
        <v>27</v>
      </c>
      <c r="B45" s="21"/>
      <c r="C45" s="22">
        <v>4731</v>
      </c>
      <c r="D45" s="22">
        <v>4752</v>
      </c>
      <c r="E45" s="22">
        <v>4776</v>
      </c>
      <c r="F45" s="22">
        <v>5144</v>
      </c>
      <c r="G45" s="22">
        <v>5444</v>
      </c>
      <c r="H45" s="24">
        <v>6424</v>
      </c>
      <c r="I45" s="24">
        <v>6773</v>
      </c>
      <c r="J45" s="24">
        <v>7482</v>
      </c>
      <c r="K45" s="24">
        <v>7500</v>
      </c>
      <c r="L45" s="24">
        <f t="shared" ref="L45:AH45" si="29">IF(L44&gt;0,K45+L47,MAX(0,K45+L47-(L42-(K44-L44))))</f>
        <v>7500</v>
      </c>
      <c r="M45" s="68">
        <f t="shared" si="29"/>
        <v>7500</v>
      </c>
      <c r="N45" s="24">
        <f t="shared" si="29"/>
        <v>7500</v>
      </c>
      <c r="O45" s="24">
        <f t="shared" si="29"/>
        <v>7500</v>
      </c>
      <c r="P45" s="24">
        <f t="shared" si="29"/>
        <v>7500</v>
      </c>
      <c r="Q45" s="24">
        <f t="shared" si="29"/>
        <v>7500</v>
      </c>
      <c r="R45" s="24">
        <f t="shared" si="29"/>
        <v>7500</v>
      </c>
      <c r="S45" s="24">
        <f t="shared" si="29"/>
        <v>7500</v>
      </c>
      <c r="T45" s="24">
        <f t="shared" si="29"/>
        <v>7500</v>
      </c>
      <c r="U45" s="24">
        <f t="shared" si="29"/>
        <v>7500</v>
      </c>
      <c r="V45" s="24">
        <f t="shared" si="29"/>
        <v>7500</v>
      </c>
      <c r="W45" s="24">
        <f t="shared" si="29"/>
        <v>7500</v>
      </c>
      <c r="X45" s="24">
        <f t="shared" si="29"/>
        <v>7500</v>
      </c>
      <c r="Y45" s="24">
        <f t="shared" si="29"/>
        <v>7500</v>
      </c>
      <c r="Z45" s="24">
        <f t="shared" si="29"/>
        <v>7500</v>
      </c>
      <c r="AA45" s="24">
        <f t="shared" si="29"/>
        <v>7500</v>
      </c>
      <c r="AB45" s="24">
        <f t="shared" si="29"/>
        <v>6895.489927277762</v>
      </c>
      <c r="AC45" s="24">
        <f t="shared" si="29"/>
        <v>5030.7388331348257</v>
      </c>
      <c r="AD45" s="24">
        <f t="shared" si="29"/>
        <v>3199.436215343731</v>
      </c>
      <c r="AE45" s="24">
        <f t="shared" si="29"/>
        <v>1402.8360343942945</v>
      </c>
      <c r="AF45" s="24">
        <f t="shared" si="29"/>
        <v>0</v>
      </c>
      <c r="AG45" s="24">
        <f t="shared" si="29"/>
        <v>0</v>
      </c>
      <c r="AH45" s="24">
        <f t="shared" si="29"/>
        <v>0</v>
      </c>
    </row>
    <row r="46" spans="1:34" x14ac:dyDescent="0.25">
      <c r="A46" t="s">
        <v>71</v>
      </c>
      <c r="C46" s="54"/>
      <c r="D46" s="101">
        <f>+D44-C44</f>
        <v>583</v>
      </c>
      <c r="E46" s="102">
        <f t="shared" ref="E46:AH46" si="30">+E44-D44</f>
        <v>517</v>
      </c>
      <c r="F46" s="102">
        <f t="shared" si="30"/>
        <v>497</v>
      </c>
      <c r="G46" s="102">
        <f t="shared" si="30"/>
        <v>398</v>
      </c>
      <c r="H46" s="43">
        <f t="shared" si="30"/>
        <v>524</v>
      </c>
      <c r="I46" s="43">
        <f t="shared" si="30"/>
        <v>588</v>
      </c>
      <c r="J46" s="43">
        <f t="shared" si="30"/>
        <v>452</v>
      </c>
      <c r="K46" s="43">
        <f t="shared" si="30"/>
        <v>496</v>
      </c>
      <c r="L46" s="43">
        <f t="shared" si="30"/>
        <v>335</v>
      </c>
      <c r="M46" s="68">
        <f t="shared" si="30"/>
        <v>357.99841000000015</v>
      </c>
      <c r="N46" s="24">
        <f t="shared" si="30"/>
        <v>123.42597283134455</v>
      </c>
      <c r="O46" s="4">
        <f t="shared" si="30"/>
        <v>58.289548378081236</v>
      </c>
      <c r="P46" s="4">
        <f t="shared" si="30"/>
        <v>-17.87334541000746</v>
      </c>
      <c r="Q46" s="4">
        <f t="shared" si="30"/>
        <v>-103.28398125872627</v>
      </c>
      <c r="R46" s="4">
        <f t="shared" si="30"/>
        <v>-198.71586991723234</v>
      </c>
      <c r="S46" s="4">
        <f t="shared" si="30"/>
        <v>-304.9977908995661</v>
      </c>
      <c r="T46" s="4">
        <f t="shared" si="30"/>
        <v>-423.01741304390271</v>
      </c>
      <c r="U46" s="4">
        <f t="shared" si="30"/>
        <v>-553.72513967173109</v>
      </c>
      <c r="V46" s="4">
        <f t="shared" si="30"/>
        <v>-698.13819177329424</v>
      </c>
      <c r="W46" s="4">
        <f t="shared" si="30"/>
        <v>-857.34494342707058</v>
      </c>
      <c r="X46" s="4">
        <f t="shared" si="30"/>
        <v>-1032.5095244872318</v>
      </c>
      <c r="Y46" s="4">
        <f t="shared" si="30"/>
        <v>-1224.8767064461654</v>
      </c>
      <c r="Z46" s="4">
        <f t="shared" si="30"/>
        <v>-1435.7770883020758</v>
      </c>
      <c r="AA46" s="4">
        <f t="shared" si="30"/>
        <v>-1629.0414389121204</v>
      </c>
      <c r="AB46" s="4">
        <f t="shared" si="30"/>
        <v>-1185.4124976603018</v>
      </c>
      <c r="AC46" s="4">
        <f t="shared" si="30"/>
        <v>0</v>
      </c>
      <c r="AD46" s="4">
        <f t="shared" si="30"/>
        <v>0</v>
      </c>
      <c r="AE46" s="4">
        <f t="shared" si="30"/>
        <v>0</v>
      </c>
      <c r="AF46" s="4">
        <f t="shared" si="30"/>
        <v>0</v>
      </c>
      <c r="AG46" s="4">
        <f t="shared" si="30"/>
        <v>0</v>
      </c>
      <c r="AH46" s="4">
        <f t="shared" si="30"/>
        <v>0</v>
      </c>
    </row>
    <row r="47" spans="1:34" x14ac:dyDescent="0.25">
      <c r="A47" t="s">
        <v>31</v>
      </c>
      <c r="C47" s="54"/>
      <c r="D47" s="54">
        <f>+D45-C45</f>
        <v>21</v>
      </c>
      <c r="E47" s="54">
        <f>+E45-D45</f>
        <v>24</v>
      </c>
      <c r="F47" s="54">
        <f>+F45-E45</f>
        <v>368</v>
      </c>
      <c r="G47" s="54">
        <f>+G45-F45</f>
        <v>300</v>
      </c>
      <c r="H47" s="59">
        <v>980</v>
      </c>
      <c r="I47">
        <v>349</v>
      </c>
      <c r="J47">
        <v>709</v>
      </c>
      <c r="K47">
        <f>IF(SUM($D47:J47)&lt;(7500-$C45),IF((10000*K6/1000+SUM($D47:J47))&lt;(7500-$C45),10000*K6/1000,7500-$C45-SUM($D47:J47)),0)</f>
        <v>18</v>
      </c>
      <c r="L47">
        <f>IF(SUM($D47:K47)&lt;(7500-$C45),IF((10000*L6/1000+SUM($D47:K47))&lt;(7500-$C45),10000*L6/1000,7500-$C45-SUM($D47:K47)),0)</f>
        <v>0</v>
      </c>
      <c r="M47" s="65">
        <f>IF(SUM($D47:L47)&lt;(7500-$C45),IF((10000*M6/1000+SUM($D47:L47))&lt;(7500-$C45),10000*M6/1000,7500-$C45-SUM($D47:L47)),0)</f>
        <v>0</v>
      </c>
      <c r="N47" s="21">
        <f>IF(SUM($D47:M47)&lt;(7500-$C45),IF((10000*N6/1000+SUM($D47:M47))&lt;(7500-$C45),10000*N6/1000,7500-$C45-SUM($D47:M47)),0)</f>
        <v>0</v>
      </c>
      <c r="O47">
        <f>IF(SUM($D47:N47)&lt;(7500-$C45),IF((10000*O6/1000+SUM($D47:N47))&lt;(7500-$C45),10000*O6/1000,7500-$C45-SUM($D47:N47)),0)</f>
        <v>0</v>
      </c>
      <c r="P47">
        <f>IF(SUM($D47:O47)&lt;(7500-$C45),IF((10000*P6/1000+SUM($D47:O47))&lt;(7500-$C45),10000*P6/1000,7500-$C45-SUM($D47:O47)),0)</f>
        <v>0</v>
      </c>
      <c r="Q47">
        <f>IF(SUM($D47:P47)&lt;(7500-$C45),IF((10000*Q6/1000+SUM($D47:P47))&lt;(7500-$C45),10000*Q6/1000,7500-$C45-SUM($D47:P47)),0)</f>
        <v>0</v>
      </c>
      <c r="R47">
        <f>IF(SUM($D47:Q47)&lt;(7500-$C45),IF((10000*R6/1000+SUM($D47:Q47))&lt;(7500-$C45),10000*R6/1000,7500-$C45-SUM($D47:Q47)),0)</f>
        <v>0</v>
      </c>
      <c r="S47">
        <f>IF(SUM($D47:R47)&lt;(7500-$C45),IF((10000*S6/1000+SUM($D47:R47))&lt;(7500-$C45),10000*S6/1000,7500-$C45-SUM($D47:R47)),0)</f>
        <v>0</v>
      </c>
      <c r="T47">
        <f>IF(SUM($D47:S47)&lt;(7500-$C45),IF((10000*T6/1000+SUM($D47:S47))&lt;(7500-$C45),10000*T6/1000,7500-$C45-SUM($D47:S47)),0)</f>
        <v>0</v>
      </c>
      <c r="U47">
        <f>IF(SUM($D47:T47)&lt;(7500-$C45),IF((10000*U6/1000+SUM($D47:T47))&lt;(7500-$C45),10000*U6/1000,7500-$C45-SUM($D47:T47)),0)</f>
        <v>0</v>
      </c>
      <c r="V47">
        <f>IF(SUM($D47:U47)&lt;(7500-$C45),IF((10000*V6/1000+SUM($D47:U47))&lt;(7500-$C45),10000*V6/1000,7500-$C45-SUM($D47:U47)),0)</f>
        <v>0</v>
      </c>
      <c r="W47">
        <f>IF(SUM($D47:V47)&lt;(7500-$C45),IF((10000*W6/1000+SUM($D47:V47))&lt;(7500-$C45),10000*W6/1000,7500-$C45-SUM($D47:V47)),0)</f>
        <v>0</v>
      </c>
      <c r="X47">
        <f>IF(SUM($D47:W47)&lt;(7500-$C45),IF((10000*X6/1000+SUM($D47:W47))&lt;(7500-$C45),10000*X6/1000,7500-$C45-SUM($D47:W47)),0)</f>
        <v>0</v>
      </c>
      <c r="Y47">
        <f>IF(SUM($D47:X47)&lt;(7500-$C45),IF((10000*Y6/1000+SUM($D47:X47))&lt;(7500-$C45),10000*Y6/1000,7500-$C45-SUM($D47:X47)),0)</f>
        <v>0</v>
      </c>
      <c r="Z47">
        <f>IF(SUM($D47:Y47)&lt;(7500-$C45),IF((10000*Z6/1000+SUM($D47:Y47))&lt;(7500-$C45),10000*Z6/1000,7500-$C45-SUM($D47:Y47)),0)</f>
        <v>0</v>
      </c>
      <c r="AA47">
        <f>IF(SUM($D47:Z47)&lt;(7500-$C45),IF((10000*AA6/1000+SUM($D47:Z47))&lt;(7500-$C45),10000*AA6/1000,7500-$C45-SUM($D47:Z47)),0)</f>
        <v>0</v>
      </c>
      <c r="AB47">
        <f>IF(SUM($D47:AA47)&lt;(7500-$C45),IF((10000*AB6/1000+SUM($D47:AA47))&lt;(7500-$C45),10000*AB6/1000,7500-$C45-SUM($D47:AA47)),0)</f>
        <v>0</v>
      </c>
      <c r="AC47">
        <f>IF(SUM($D47:AB47)&lt;(7500-$C45),IF((10000*AC6/1000+SUM($D47:AB47))&lt;(7500-$C45),10000*AC6/1000,7500-$C45-SUM($D47:AB47)),0)</f>
        <v>0</v>
      </c>
      <c r="AD47">
        <f>IF(SUM($D47:AC47)&lt;(7500-$C45),IF((10000*AD6/1000+SUM($D47:AC47))&lt;(7500-$C45),10000*AD6/1000,7500-$C45-SUM($D47:AC47)),0)</f>
        <v>0</v>
      </c>
      <c r="AE47">
        <f>IF(SUM($D47:AD47)&lt;(7500-$C45),IF((10000*AE6/1000+SUM($D47:AD47))&lt;(7500-$C45),10000*AE6/1000,7500-$C45-SUM($D47:AD47)),0)</f>
        <v>0</v>
      </c>
      <c r="AF47">
        <f>IF(SUM($D47:AE47)&lt;(7500-$C45),IF((10000*AF6/1000+SUM($D47:AE47))&lt;(7500-$C45),10000*AF6/1000,7500-$C45-SUM($D47:AE47)),0)</f>
        <v>0</v>
      </c>
      <c r="AG47">
        <f>IF(SUM($D47:AF47)&lt;(7500-$C45),IF((10000*AG6/1000+SUM($D47:AF47))&lt;(7500-$C45),10000*AG6/1000,7500-$C45-SUM($D47:AF47)),0)</f>
        <v>0</v>
      </c>
      <c r="AH47">
        <f>IF(SUM($D47:AG47)&lt;(7500-$C45),IF((10000*AH6/1000+SUM($D47:AG47))&lt;(7500-$C45),10000*AH6/1000,7500-$C45-SUM($D47:AG47)),0)</f>
        <v>0</v>
      </c>
    </row>
    <row r="48" spans="1:34" x14ac:dyDescent="0.25">
      <c r="A48" t="s">
        <v>55</v>
      </c>
      <c r="C48">
        <v>8</v>
      </c>
      <c r="D48" s="11">
        <v>8</v>
      </c>
      <c r="E48" s="11">
        <v>2</v>
      </c>
      <c r="F48" s="11">
        <v>33</v>
      </c>
      <c r="G48" s="11">
        <v>22</v>
      </c>
      <c r="H48">
        <v>42</v>
      </c>
      <c r="I48" s="11">
        <v>12</v>
      </c>
      <c r="J48" s="11">
        <v>1</v>
      </c>
      <c r="K48" s="11">
        <v>3</v>
      </c>
      <c r="L48" s="11">
        <v>2</v>
      </c>
      <c r="M48" s="78">
        <f t="shared" ref="M48:AH48" si="31">+L48</f>
        <v>2</v>
      </c>
      <c r="N48" s="23">
        <f t="shared" si="31"/>
        <v>2</v>
      </c>
      <c r="O48" s="11">
        <f t="shared" si="31"/>
        <v>2</v>
      </c>
      <c r="P48" s="11">
        <f t="shared" si="31"/>
        <v>2</v>
      </c>
      <c r="Q48" s="11">
        <f t="shared" si="31"/>
        <v>2</v>
      </c>
      <c r="R48" s="11">
        <f t="shared" si="31"/>
        <v>2</v>
      </c>
      <c r="S48" s="11">
        <f t="shared" si="31"/>
        <v>2</v>
      </c>
      <c r="T48" s="11">
        <f t="shared" si="31"/>
        <v>2</v>
      </c>
      <c r="U48" s="11">
        <f t="shared" si="31"/>
        <v>2</v>
      </c>
      <c r="V48" s="11">
        <f t="shared" si="31"/>
        <v>2</v>
      </c>
      <c r="W48" s="11">
        <f t="shared" si="31"/>
        <v>2</v>
      </c>
      <c r="X48" s="11">
        <f t="shared" si="31"/>
        <v>2</v>
      </c>
      <c r="Y48" s="11">
        <f t="shared" si="31"/>
        <v>2</v>
      </c>
      <c r="Z48" s="11">
        <f t="shared" si="31"/>
        <v>2</v>
      </c>
      <c r="AA48" s="11">
        <f t="shared" si="31"/>
        <v>2</v>
      </c>
      <c r="AB48" s="11">
        <f t="shared" si="31"/>
        <v>2</v>
      </c>
      <c r="AC48" s="11">
        <f t="shared" si="31"/>
        <v>2</v>
      </c>
      <c r="AD48" s="11">
        <f t="shared" si="31"/>
        <v>2</v>
      </c>
      <c r="AE48" s="11">
        <f t="shared" si="31"/>
        <v>2</v>
      </c>
      <c r="AF48" s="11">
        <f t="shared" si="31"/>
        <v>2</v>
      </c>
      <c r="AG48" s="11">
        <f t="shared" si="31"/>
        <v>2</v>
      </c>
      <c r="AH48" s="11">
        <f t="shared" si="31"/>
        <v>2</v>
      </c>
    </row>
    <row r="49" spans="1:34" x14ac:dyDescent="0.25">
      <c r="A49" t="s">
        <v>56</v>
      </c>
      <c r="C49">
        <f t="shared" ref="C49:F49" si="32">+C48-B48</f>
        <v>8</v>
      </c>
      <c r="D49" s="11">
        <f t="shared" si="32"/>
        <v>0</v>
      </c>
      <c r="E49" s="11">
        <f t="shared" si="32"/>
        <v>-6</v>
      </c>
      <c r="F49" s="11">
        <f t="shared" si="32"/>
        <v>31</v>
      </c>
      <c r="G49" s="11">
        <f>+G48-F48</f>
        <v>-11</v>
      </c>
      <c r="H49" s="11">
        <f>+H48-G48</f>
        <v>20</v>
      </c>
      <c r="I49" s="11">
        <f t="shared" ref="I49:AH49" si="33">+I48-H48</f>
        <v>-30</v>
      </c>
      <c r="J49" s="11">
        <f t="shared" si="33"/>
        <v>-11</v>
      </c>
      <c r="K49" s="11">
        <f t="shared" si="33"/>
        <v>2</v>
      </c>
      <c r="L49" s="11">
        <f t="shared" si="33"/>
        <v>-1</v>
      </c>
      <c r="M49" s="78">
        <f t="shared" si="33"/>
        <v>0</v>
      </c>
      <c r="N49" s="23">
        <f t="shared" si="33"/>
        <v>0</v>
      </c>
      <c r="O49" s="11">
        <f t="shared" si="33"/>
        <v>0</v>
      </c>
      <c r="P49" s="11">
        <f t="shared" si="33"/>
        <v>0</v>
      </c>
      <c r="Q49" s="11">
        <f t="shared" si="33"/>
        <v>0</v>
      </c>
      <c r="R49" s="11">
        <f t="shared" si="33"/>
        <v>0</v>
      </c>
      <c r="S49" s="11">
        <f t="shared" si="33"/>
        <v>0</v>
      </c>
      <c r="T49" s="11">
        <f t="shared" si="33"/>
        <v>0</v>
      </c>
      <c r="U49" s="11">
        <f t="shared" si="33"/>
        <v>0</v>
      </c>
      <c r="V49" s="11">
        <f t="shared" si="33"/>
        <v>0</v>
      </c>
      <c r="W49" s="11">
        <f t="shared" si="33"/>
        <v>0</v>
      </c>
      <c r="X49" s="11">
        <f t="shared" si="33"/>
        <v>0</v>
      </c>
      <c r="Y49" s="11">
        <f t="shared" si="33"/>
        <v>0</v>
      </c>
      <c r="Z49" s="11">
        <f t="shared" si="33"/>
        <v>0</v>
      </c>
      <c r="AA49" s="11">
        <f t="shared" si="33"/>
        <v>0</v>
      </c>
      <c r="AB49" s="11">
        <f t="shared" si="33"/>
        <v>0</v>
      </c>
      <c r="AC49" s="11">
        <f t="shared" si="33"/>
        <v>0</v>
      </c>
      <c r="AD49" s="11">
        <f t="shared" si="33"/>
        <v>0</v>
      </c>
      <c r="AE49" s="11">
        <f t="shared" si="33"/>
        <v>0</v>
      </c>
      <c r="AF49" s="11">
        <f t="shared" si="33"/>
        <v>0</v>
      </c>
      <c r="AG49" s="11">
        <f t="shared" si="33"/>
        <v>0</v>
      </c>
      <c r="AH49" s="11">
        <f t="shared" si="33"/>
        <v>0</v>
      </c>
    </row>
    <row r="50" spans="1:34" x14ac:dyDescent="0.25">
      <c r="D50" s="59"/>
      <c r="E50" s="59"/>
      <c r="F50" s="59"/>
      <c r="G50" s="59"/>
      <c r="H50" s="59"/>
      <c r="I50" s="59"/>
    </row>
    <row r="72" spans="1:40" x14ac:dyDescent="0.25">
      <c r="C72" s="4"/>
    </row>
    <row r="73" spans="1:40" x14ac:dyDescent="0.25">
      <c r="G73" s="14">
        <f>G3</f>
        <v>2013</v>
      </c>
      <c r="H73" s="14">
        <f t="shared" ref="H73:AH73" si="34">H3</f>
        <v>2014</v>
      </c>
      <c r="I73" s="14">
        <f t="shared" si="34"/>
        <v>2015</v>
      </c>
      <c r="J73" s="14">
        <f t="shared" si="34"/>
        <v>2016</v>
      </c>
      <c r="K73" s="14">
        <f t="shared" si="34"/>
        <v>2017</v>
      </c>
      <c r="L73" s="14">
        <f t="shared" si="34"/>
        <v>2018</v>
      </c>
      <c r="M73" s="14">
        <f t="shared" si="34"/>
        <v>2019</v>
      </c>
      <c r="N73" s="14">
        <f t="shared" si="34"/>
        <v>2020</v>
      </c>
      <c r="O73" s="14">
        <f t="shared" si="34"/>
        <v>2021</v>
      </c>
      <c r="P73" s="14">
        <f t="shared" si="34"/>
        <v>2022</v>
      </c>
      <c r="Q73" s="14">
        <f t="shared" si="34"/>
        <v>2023</v>
      </c>
      <c r="R73" s="14">
        <f t="shared" si="34"/>
        <v>2024</v>
      </c>
      <c r="S73" s="14">
        <f t="shared" si="34"/>
        <v>2025</v>
      </c>
      <c r="T73" s="14">
        <f t="shared" si="34"/>
        <v>2026</v>
      </c>
      <c r="U73" s="14">
        <f t="shared" si="34"/>
        <v>2027</v>
      </c>
      <c r="V73" s="14">
        <f t="shared" si="34"/>
        <v>2028</v>
      </c>
      <c r="W73" s="14">
        <f t="shared" si="34"/>
        <v>2029</v>
      </c>
      <c r="X73" s="14">
        <f t="shared" si="34"/>
        <v>2030</v>
      </c>
      <c r="Y73" s="14">
        <f t="shared" si="34"/>
        <v>2031</v>
      </c>
      <c r="Z73" s="14">
        <f t="shared" si="34"/>
        <v>2032</v>
      </c>
      <c r="AA73" s="14">
        <f t="shared" si="34"/>
        <v>2033</v>
      </c>
      <c r="AB73" s="14">
        <f t="shared" si="34"/>
        <v>2034</v>
      </c>
      <c r="AC73" s="14">
        <f t="shared" si="34"/>
        <v>2035</v>
      </c>
      <c r="AD73" s="14">
        <f t="shared" si="34"/>
        <v>2036</v>
      </c>
      <c r="AE73" s="14">
        <f t="shared" si="34"/>
        <v>2037</v>
      </c>
      <c r="AF73" s="14">
        <f t="shared" si="34"/>
        <v>2038</v>
      </c>
      <c r="AG73" s="14">
        <f t="shared" si="34"/>
        <v>2039</v>
      </c>
      <c r="AH73" s="14">
        <f t="shared" si="34"/>
        <v>2040</v>
      </c>
    </row>
    <row r="74" spans="1:40" x14ac:dyDescent="0.25">
      <c r="A74" t="s">
        <v>62</v>
      </c>
      <c r="C74" s="10">
        <f t="shared" ref="C74:AH74" si="35">+C34-C18+C23+C29</f>
        <v>-299</v>
      </c>
      <c r="D74" s="10">
        <f t="shared" si="35"/>
        <v>-200</v>
      </c>
      <c r="E74" s="10">
        <f t="shared" si="35"/>
        <v>-214</v>
      </c>
      <c r="F74" s="10">
        <f t="shared" si="35"/>
        <v>-173</v>
      </c>
      <c r="G74" s="10">
        <f t="shared" si="35"/>
        <v>-161</v>
      </c>
      <c r="H74" s="10">
        <f t="shared" si="35"/>
        <v>-122</v>
      </c>
      <c r="I74" s="10">
        <f t="shared" si="35"/>
        <v>-143</v>
      </c>
      <c r="J74" s="10">
        <f t="shared" si="35"/>
        <v>-38</v>
      </c>
      <c r="K74" s="10">
        <f t="shared" si="35"/>
        <v>65</v>
      </c>
      <c r="L74" s="10">
        <f t="shared" si="35"/>
        <v>106</v>
      </c>
      <c r="M74" s="10">
        <f t="shared" si="35"/>
        <v>66.555650000000128</v>
      </c>
      <c r="N74" s="10">
        <f t="shared" si="35"/>
        <v>237.10983317094758</v>
      </c>
      <c r="O74" s="10">
        <f t="shared" si="35"/>
        <v>316.63649208383191</v>
      </c>
      <c r="P74" s="10">
        <f t="shared" si="35"/>
        <v>394.74608016332417</v>
      </c>
      <c r="Q74" s="10">
        <f t="shared" si="35"/>
        <v>479.55233454726897</v>
      </c>
      <c r="R74" s="10">
        <f t="shared" si="35"/>
        <v>571.52146444617097</v>
      </c>
      <c r="S74" s="10">
        <f t="shared" si="35"/>
        <v>671.14934727715683</v>
      </c>
      <c r="T74" s="10">
        <f t="shared" si="35"/>
        <v>778.96332432511736</v>
      </c>
      <c r="U74" s="10">
        <f t="shared" si="35"/>
        <v>895.52410163843956</v>
      </c>
      <c r="V74" s="10">
        <f t="shared" si="35"/>
        <v>1021.4277621885137</v>
      </c>
      <c r="W74" s="10">
        <f t="shared" si="35"/>
        <v>1157.3078956617921</v>
      </c>
      <c r="X74" s="10">
        <f t="shared" si="35"/>
        <v>1303.837852611739</v>
      </c>
      <c r="Y74" s="10">
        <f t="shared" si="35"/>
        <v>1461.7331300764295</v>
      </c>
      <c r="Z74" s="10">
        <f t="shared" si="35"/>
        <v>1631.7538961670189</v>
      </c>
      <c r="AA74" s="10">
        <f t="shared" si="35"/>
        <v>1777.7175889094131</v>
      </c>
      <c r="AB74" s="10">
        <f t="shared" si="35"/>
        <v>1885.6778766365833</v>
      </c>
      <c r="AC74" s="10">
        <f t="shared" si="35"/>
        <v>1953.2501910332826</v>
      </c>
      <c r="AD74" s="10">
        <f t="shared" si="35"/>
        <v>1921.6391921036993</v>
      </c>
      <c r="AE74" s="10">
        <f t="shared" si="35"/>
        <v>1888.8201696198562</v>
      </c>
      <c r="AF74" s="10">
        <f t="shared" si="35"/>
        <v>1854.7396335095054</v>
      </c>
      <c r="AG74" s="10">
        <f t="shared" si="35"/>
        <v>1819.3414580598912</v>
      </c>
      <c r="AH74" s="10">
        <f t="shared" si="35"/>
        <v>1782.5667436415736</v>
      </c>
      <c r="AI74" s="10"/>
      <c r="AJ74" s="10"/>
      <c r="AK74" s="10"/>
      <c r="AL74" s="10"/>
      <c r="AM74" s="10"/>
      <c r="AN74" s="10"/>
    </row>
    <row r="75" spans="1:40" x14ac:dyDescent="0.25">
      <c r="A75" t="s">
        <v>63</v>
      </c>
      <c r="C75" s="90">
        <f t="shared" ref="C75:AH75" si="36">+C34-C74</f>
        <v>-310</v>
      </c>
      <c r="D75" s="90">
        <f t="shared" si="36"/>
        <v>-199</v>
      </c>
      <c r="E75" s="90">
        <f t="shared" si="36"/>
        <v>-71</v>
      </c>
      <c r="F75" s="90">
        <f t="shared" si="36"/>
        <v>-83</v>
      </c>
      <c r="G75" s="90">
        <f t="shared" si="36"/>
        <v>-73</v>
      </c>
      <c r="H75" s="90">
        <f t="shared" si="36"/>
        <v>-101</v>
      </c>
      <c r="I75" s="90">
        <f t="shared" si="36"/>
        <v>-162</v>
      </c>
      <c r="J75" s="90">
        <f t="shared" si="36"/>
        <v>-164</v>
      </c>
      <c r="K75" s="90">
        <f>+K34-K74</f>
        <v>-232</v>
      </c>
      <c r="L75" s="90">
        <f t="shared" si="36"/>
        <v>-180</v>
      </c>
      <c r="M75" s="90">
        <f t="shared" si="36"/>
        <v>-129.12335000000041</v>
      </c>
      <c r="N75" s="90">
        <f t="shared" si="36"/>
        <v>-50.748594861555262</v>
      </c>
      <c r="O75" s="90">
        <f t="shared" si="36"/>
        <v>-52.017309733094237</v>
      </c>
      <c r="P75" s="90">
        <f t="shared" si="36"/>
        <v>-53.317742476421643</v>
      </c>
      <c r="Q75" s="90">
        <f t="shared" si="36"/>
        <v>-54.650686038332083</v>
      </c>
      <c r="R75" s="90">
        <f t="shared" si="36"/>
        <v>-56.016953189290462</v>
      </c>
      <c r="S75" s="90">
        <f t="shared" si="36"/>
        <v>-57.417377019022638</v>
      </c>
      <c r="T75" s="90">
        <f t="shared" si="36"/>
        <v>-58.852811444498229</v>
      </c>
      <c r="U75" s="90">
        <f t="shared" si="36"/>
        <v>-60.324131730610588</v>
      </c>
      <c r="V75" s="90">
        <f t="shared" si="36"/>
        <v>-61.83223502387591</v>
      </c>
      <c r="W75" s="90">
        <f t="shared" si="36"/>
        <v>-63.378040899472808</v>
      </c>
      <c r="X75" s="90">
        <f t="shared" si="36"/>
        <v>-64.962491921959554</v>
      </c>
      <c r="Y75" s="90">
        <f t="shared" si="36"/>
        <v>-66.586554220008793</v>
      </c>
      <c r="Z75" s="90">
        <f t="shared" si="36"/>
        <v>-68.251218075508859</v>
      </c>
      <c r="AA75" s="90">
        <f t="shared" si="36"/>
        <v>-69.957498527396638</v>
      </c>
      <c r="AB75" s="90">
        <f t="shared" si="36"/>
        <v>-71.706435990581667</v>
      </c>
      <c r="AC75" s="90">
        <f t="shared" si="36"/>
        <v>-73.499096890346209</v>
      </c>
      <c r="AD75" s="90">
        <f t="shared" si="36"/>
        <v>-75.336574312604625</v>
      </c>
      <c r="AE75" s="90">
        <f t="shared" si="36"/>
        <v>-77.219988670419752</v>
      </c>
      <c r="AF75" s="90">
        <f t="shared" si="36"/>
        <v>-79.150488387180303</v>
      </c>
      <c r="AG75" s="90">
        <f t="shared" si="36"/>
        <v>-81.12925059685972</v>
      </c>
      <c r="AH75" s="90">
        <f t="shared" si="36"/>
        <v>-83.157481861781207</v>
      </c>
      <c r="AI75" s="90"/>
      <c r="AJ75" s="90"/>
      <c r="AK75" s="90"/>
      <c r="AL75" s="90"/>
      <c r="AM75" s="90"/>
      <c r="AN75" s="90"/>
    </row>
    <row r="76" spans="1:40" x14ac:dyDescent="0.25">
      <c r="A76" t="s">
        <v>64</v>
      </c>
      <c r="C76" s="10">
        <f t="shared" ref="C76:AH76" si="37">+C74+C75</f>
        <v>-609</v>
      </c>
      <c r="D76" s="10">
        <f t="shared" si="37"/>
        <v>-399</v>
      </c>
      <c r="E76" s="10">
        <f t="shared" si="37"/>
        <v>-285</v>
      </c>
      <c r="F76" s="10">
        <f t="shared" si="37"/>
        <v>-256</v>
      </c>
      <c r="G76" s="10">
        <f t="shared" si="37"/>
        <v>-234</v>
      </c>
      <c r="H76" s="10">
        <f t="shared" si="37"/>
        <v>-223</v>
      </c>
      <c r="I76" s="10">
        <f t="shared" si="37"/>
        <v>-305</v>
      </c>
      <c r="J76" s="10">
        <f t="shared" si="37"/>
        <v>-202</v>
      </c>
      <c r="K76" s="10">
        <f t="shared" si="37"/>
        <v>-167</v>
      </c>
      <c r="L76" s="10">
        <f t="shared" si="37"/>
        <v>-74</v>
      </c>
      <c r="M76" s="10">
        <f t="shared" si="37"/>
        <v>-62.567700000000286</v>
      </c>
      <c r="N76" s="10">
        <f t="shared" si="37"/>
        <v>186.36123830939232</v>
      </c>
      <c r="O76" s="10">
        <f t="shared" si="37"/>
        <v>264.61918235073767</v>
      </c>
      <c r="P76" s="10">
        <f t="shared" si="37"/>
        <v>341.42833768690252</v>
      </c>
      <c r="Q76" s="10">
        <f t="shared" si="37"/>
        <v>424.90164850893689</v>
      </c>
      <c r="R76" s="10">
        <f t="shared" si="37"/>
        <v>515.50451125688051</v>
      </c>
      <c r="S76" s="10">
        <f t="shared" si="37"/>
        <v>613.7319702581342</v>
      </c>
      <c r="T76" s="10">
        <f t="shared" si="37"/>
        <v>720.11051288061913</v>
      </c>
      <c r="U76" s="10">
        <f t="shared" si="37"/>
        <v>835.19996990782897</v>
      </c>
      <c r="V76" s="10">
        <f t="shared" si="37"/>
        <v>959.59552716463782</v>
      </c>
      <c r="W76" s="10">
        <f t="shared" si="37"/>
        <v>1093.9298547623193</v>
      </c>
      <c r="X76" s="10">
        <f t="shared" si="37"/>
        <v>1238.8753606897794</v>
      </c>
      <c r="Y76" s="10">
        <f t="shared" si="37"/>
        <v>1395.1465758564207</v>
      </c>
      <c r="Z76" s="10">
        <f t="shared" si="37"/>
        <v>1563.50267809151</v>
      </c>
      <c r="AA76" s="10">
        <f t="shared" si="37"/>
        <v>1707.7600903820164</v>
      </c>
      <c r="AB76" s="10">
        <f t="shared" si="37"/>
        <v>1813.9714406460016</v>
      </c>
      <c r="AC76" s="10">
        <f t="shared" si="37"/>
        <v>1879.7510941429364</v>
      </c>
      <c r="AD76" s="10">
        <f t="shared" si="37"/>
        <v>1846.3026177910947</v>
      </c>
      <c r="AE76" s="10">
        <f t="shared" si="37"/>
        <v>1811.6001809494364</v>
      </c>
      <c r="AF76" s="10">
        <f t="shared" si="37"/>
        <v>1775.5891451223251</v>
      </c>
      <c r="AG76" s="10">
        <f t="shared" si="37"/>
        <v>1738.2122074630315</v>
      </c>
      <c r="AH76" s="10">
        <f t="shared" si="37"/>
        <v>1699.4092617797924</v>
      </c>
      <c r="AI76" s="10"/>
      <c r="AJ76" s="10"/>
      <c r="AK76" s="10"/>
      <c r="AL76" s="10"/>
      <c r="AM76" s="10"/>
      <c r="AN76" s="10"/>
    </row>
    <row r="79" spans="1:40" x14ac:dyDescent="0.25"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43"/>
      <c r="R79" s="43"/>
      <c r="S79" s="43"/>
      <c r="T79" s="43"/>
      <c r="U79" s="43"/>
      <c r="V79" s="43"/>
      <c r="W79" s="43"/>
      <c r="X79" s="43"/>
      <c r="Y79" s="43"/>
      <c r="Z79" s="43"/>
      <c r="AA79" s="43"/>
      <c r="AB79" s="43"/>
      <c r="AC79" s="43"/>
    </row>
    <row r="80" spans="1:40" x14ac:dyDescent="0.25">
      <c r="D80" s="59"/>
      <c r="E80" s="59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</row>
    <row r="81" spans="6:29" x14ac:dyDescent="0.25">
      <c r="F81" s="59"/>
      <c r="G81" s="59"/>
      <c r="H81" s="59"/>
      <c r="I81" s="59"/>
      <c r="J81" s="59"/>
      <c r="K81" s="59"/>
      <c r="L81" s="59"/>
      <c r="M81" s="59"/>
      <c r="N81" s="59"/>
      <c r="O81" s="59"/>
      <c r="P81" s="59"/>
      <c r="Q81" s="59"/>
      <c r="R81" s="59"/>
      <c r="S81" s="59"/>
      <c r="T81" s="59"/>
      <c r="U81" s="59"/>
      <c r="V81" s="59"/>
      <c r="W81" s="59"/>
      <c r="X81" s="59"/>
      <c r="Y81" s="59"/>
      <c r="Z81" s="59"/>
      <c r="AA81" s="59"/>
      <c r="AB81" s="59"/>
      <c r="AC81" s="59"/>
    </row>
    <row r="85" spans="6:29" x14ac:dyDescent="0.25">
      <c r="H85" s="10"/>
      <c r="K85" s="111"/>
      <c r="L85" s="111"/>
      <c r="M85" s="111"/>
      <c r="N85" s="111"/>
      <c r="O85" s="111"/>
      <c r="P85" s="111"/>
      <c r="Q85" s="111"/>
      <c r="R85" s="111"/>
      <c r="S85" s="111"/>
      <c r="T85" s="111"/>
      <c r="U85" s="111"/>
      <c r="V85" s="111"/>
      <c r="W85" s="111"/>
      <c r="X85" s="111"/>
      <c r="Y85" s="111"/>
      <c r="Z85" s="111"/>
      <c r="AA85" s="111"/>
      <c r="AB85" s="111"/>
      <c r="AC85" s="111"/>
    </row>
    <row r="87" spans="6:29" x14ac:dyDescent="0.25">
      <c r="L87" s="103"/>
    </row>
    <row r="90" spans="6:29" x14ac:dyDescent="0.25"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  <c r="AA90" s="10"/>
      <c r="AB90" s="10"/>
      <c r="AC90" s="10"/>
    </row>
  </sheetData>
  <pageMargins left="0.25" right="0.25" top="0.25" bottom="0.25" header="0.3" footer="0.3"/>
  <pageSetup scale="47" orientation="landscape" r:id="rId1"/>
  <drawing r:id="rId2"/>
  <legacy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86E204-090B-4FD8-9A1D-728695533677}">
  <sheetPr>
    <pageSetUpPr fitToPage="1"/>
  </sheetPr>
  <dimension ref="A1:AN91"/>
  <sheetViews>
    <sheetView zoomScaleNormal="100" workbookViewId="0">
      <pane xSplit="1" ySplit="3" topLeftCell="K38" activePane="bottomRight" state="frozen"/>
      <selection pane="topRight" activeCell="B1" sqref="B1"/>
      <selection pane="bottomLeft" activeCell="A4" sqref="A4"/>
      <selection pane="bottomRight" activeCell="O53" sqref="O53"/>
    </sheetView>
  </sheetViews>
  <sheetFormatPr defaultRowHeight="15" x14ac:dyDescent="0.25"/>
  <cols>
    <col min="1" max="1" width="42.7109375" bestFit="1" customWidth="1"/>
    <col min="2" max="2" width="11.28515625" customWidth="1"/>
    <col min="3" max="3" width="11.5703125" customWidth="1"/>
    <col min="4" max="4" width="9.5703125" customWidth="1"/>
    <col min="5" max="5" width="10.5703125" customWidth="1"/>
    <col min="6" max="6" width="10" customWidth="1"/>
    <col min="7" max="7" width="9.42578125" customWidth="1"/>
    <col min="8" max="10" width="8.5703125" customWidth="1"/>
    <col min="11" max="11" width="9.42578125" customWidth="1"/>
    <col min="12" max="29" width="8.5703125" customWidth="1"/>
  </cols>
  <sheetData>
    <row r="1" spans="1:34" ht="23.25" customHeight="1" x14ac:dyDescent="0.4">
      <c r="A1" s="19" t="s">
        <v>22</v>
      </c>
      <c r="M1" s="50"/>
      <c r="N1" s="50"/>
      <c r="O1" s="50"/>
    </row>
    <row r="2" spans="1:34" ht="18.75" x14ac:dyDescent="0.3">
      <c r="A2" s="20" t="s">
        <v>77</v>
      </c>
      <c r="G2" s="10"/>
      <c r="H2" s="79"/>
      <c r="I2" s="79"/>
      <c r="J2" s="79"/>
      <c r="K2" s="79"/>
      <c r="L2" s="79"/>
      <c r="N2" s="137" t="s">
        <v>79</v>
      </c>
      <c r="O2" s="136" t="s">
        <v>57</v>
      </c>
    </row>
    <row r="3" spans="1:34" x14ac:dyDescent="0.25">
      <c r="A3" t="s">
        <v>28</v>
      </c>
      <c r="C3" s="14">
        <v>2009</v>
      </c>
      <c r="D3" s="14">
        <v>2010</v>
      </c>
      <c r="E3" s="14">
        <v>2011</v>
      </c>
      <c r="F3" s="14">
        <v>2012</v>
      </c>
      <c r="G3" s="14">
        <f t="shared" ref="G3:V3" si="0">+F3+1</f>
        <v>2013</v>
      </c>
      <c r="H3" s="14">
        <f t="shared" si="0"/>
        <v>2014</v>
      </c>
      <c r="I3" s="14">
        <f t="shared" si="0"/>
        <v>2015</v>
      </c>
      <c r="J3" s="14">
        <f t="shared" si="0"/>
        <v>2016</v>
      </c>
      <c r="K3" s="14">
        <f t="shared" si="0"/>
        <v>2017</v>
      </c>
      <c r="L3" s="14">
        <f t="shared" si="0"/>
        <v>2018</v>
      </c>
      <c r="M3" s="14">
        <f t="shared" si="0"/>
        <v>2019</v>
      </c>
      <c r="N3" s="64">
        <f t="shared" si="0"/>
        <v>2020</v>
      </c>
      <c r="O3" s="27">
        <f t="shared" si="0"/>
        <v>2021</v>
      </c>
      <c r="P3" s="14">
        <f t="shared" si="0"/>
        <v>2022</v>
      </c>
      <c r="Q3" s="14">
        <f t="shared" si="0"/>
        <v>2023</v>
      </c>
      <c r="R3" s="14">
        <f t="shared" si="0"/>
        <v>2024</v>
      </c>
      <c r="S3" s="14">
        <f t="shared" si="0"/>
        <v>2025</v>
      </c>
      <c r="T3" s="14">
        <f t="shared" si="0"/>
        <v>2026</v>
      </c>
      <c r="U3" s="14">
        <f t="shared" si="0"/>
        <v>2027</v>
      </c>
      <c r="V3" s="14">
        <f t="shared" si="0"/>
        <v>2028</v>
      </c>
      <c r="W3" s="14">
        <f>+V3+1</f>
        <v>2029</v>
      </c>
      <c r="X3" s="14">
        <f>+W3+1</f>
        <v>2030</v>
      </c>
      <c r="Y3" s="14">
        <f t="shared" ref="Y3:AH3" si="1">+X3+1</f>
        <v>2031</v>
      </c>
      <c r="Z3" s="14">
        <f t="shared" si="1"/>
        <v>2032</v>
      </c>
      <c r="AA3" s="14">
        <f t="shared" si="1"/>
        <v>2033</v>
      </c>
      <c r="AB3" s="14">
        <f t="shared" si="1"/>
        <v>2034</v>
      </c>
      <c r="AC3" s="14">
        <f t="shared" si="1"/>
        <v>2035</v>
      </c>
      <c r="AD3" s="14">
        <f t="shared" si="1"/>
        <v>2036</v>
      </c>
      <c r="AE3" s="14">
        <f t="shared" si="1"/>
        <v>2037</v>
      </c>
      <c r="AF3" s="14">
        <f t="shared" si="1"/>
        <v>2038</v>
      </c>
      <c r="AG3" s="14">
        <f t="shared" si="1"/>
        <v>2039</v>
      </c>
      <c r="AH3" s="14">
        <f t="shared" si="1"/>
        <v>2040</v>
      </c>
    </row>
    <row r="4" spans="1:34" x14ac:dyDescent="0.25">
      <c r="N4" s="65"/>
      <c r="O4" s="21"/>
    </row>
    <row r="5" spans="1:34" s="4" customFormat="1" x14ac:dyDescent="0.25">
      <c r="A5" s="104" t="s">
        <v>50</v>
      </c>
      <c r="C5" s="43">
        <v>332</v>
      </c>
      <c r="D5" s="43">
        <f>+C5+D6</f>
        <v>379</v>
      </c>
      <c r="E5" s="43">
        <f t="shared" ref="E5:AH5" si="2">+D5+E6</f>
        <v>424</v>
      </c>
      <c r="F5" s="43">
        <f t="shared" si="2"/>
        <v>468</v>
      </c>
      <c r="G5" s="43">
        <f t="shared" si="2"/>
        <v>510</v>
      </c>
      <c r="H5" s="43">
        <f t="shared" si="2"/>
        <v>544</v>
      </c>
      <c r="I5" s="43">
        <f t="shared" si="2"/>
        <v>581</v>
      </c>
      <c r="J5" s="43">
        <f t="shared" si="2"/>
        <v>615</v>
      </c>
      <c r="K5" s="43">
        <f t="shared" si="2"/>
        <v>671</v>
      </c>
      <c r="L5" s="43">
        <f t="shared" si="2"/>
        <v>717</v>
      </c>
      <c r="M5" s="43">
        <v>764</v>
      </c>
      <c r="N5" s="65">
        <v>820</v>
      </c>
      <c r="O5" s="24">
        <f t="shared" si="2"/>
        <v>862</v>
      </c>
      <c r="P5" s="4">
        <f t="shared" si="2"/>
        <v>904</v>
      </c>
      <c r="Q5" s="4">
        <f t="shared" si="2"/>
        <v>946</v>
      </c>
      <c r="R5" s="4">
        <f t="shared" si="2"/>
        <v>988</v>
      </c>
      <c r="S5" s="4">
        <f t="shared" si="2"/>
        <v>1030</v>
      </c>
      <c r="T5" s="4">
        <f t="shared" si="2"/>
        <v>1072</v>
      </c>
      <c r="U5" s="4">
        <f t="shared" si="2"/>
        <v>1114</v>
      </c>
      <c r="V5" s="4">
        <f t="shared" si="2"/>
        <v>1156</v>
      </c>
      <c r="W5" s="4">
        <f t="shared" si="2"/>
        <v>1198</v>
      </c>
      <c r="X5" s="4">
        <f t="shared" si="2"/>
        <v>1240</v>
      </c>
      <c r="Y5" s="4">
        <f t="shared" si="2"/>
        <v>1282</v>
      </c>
      <c r="Z5" s="4">
        <f t="shared" si="2"/>
        <v>1324</v>
      </c>
      <c r="AA5" s="4">
        <f t="shared" si="2"/>
        <v>1366</v>
      </c>
      <c r="AB5" s="4">
        <f t="shared" si="2"/>
        <v>1392</v>
      </c>
      <c r="AC5" s="4">
        <f t="shared" si="2"/>
        <v>1392</v>
      </c>
      <c r="AD5" s="4">
        <f t="shared" si="2"/>
        <v>1392</v>
      </c>
      <c r="AE5" s="4">
        <f t="shared" si="2"/>
        <v>1392</v>
      </c>
      <c r="AF5" s="4">
        <f t="shared" si="2"/>
        <v>1392</v>
      </c>
      <c r="AG5" s="4">
        <f t="shared" si="2"/>
        <v>1392</v>
      </c>
      <c r="AH5" s="4">
        <f t="shared" si="2"/>
        <v>1392</v>
      </c>
    </row>
    <row r="6" spans="1:34" x14ac:dyDescent="0.25">
      <c r="A6" s="1" t="s">
        <v>68</v>
      </c>
      <c r="D6" s="3">
        <v>47</v>
      </c>
      <c r="E6" s="3">
        <v>45</v>
      </c>
      <c r="F6" s="3">
        <v>44</v>
      </c>
      <c r="G6" s="3">
        <v>42</v>
      </c>
      <c r="H6" s="3">
        <v>34</v>
      </c>
      <c r="I6" s="3">
        <v>37</v>
      </c>
      <c r="J6" s="3">
        <v>34</v>
      </c>
      <c r="K6" s="3">
        <v>56</v>
      </c>
      <c r="L6" s="3">
        <v>46</v>
      </c>
      <c r="M6" s="3">
        <f>+M5-L5</f>
        <v>47</v>
      </c>
      <c r="N6" s="131">
        <f>N5-M5</f>
        <v>56</v>
      </c>
      <c r="O6" s="132">
        <v>42</v>
      </c>
      <c r="P6" s="3">
        <v>42</v>
      </c>
      <c r="Q6" s="3">
        <v>42</v>
      </c>
      <c r="R6" s="3">
        <v>42</v>
      </c>
      <c r="S6" s="3">
        <v>42</v>
      </c>
      <c r="T6" s="3">
        <v>42</v>
      </c>
      <c r="U6" s="3">
        <v>42</v>
      </c>
      <c r="V6" s="3">
        <v>42</v>
      </c>
      <c r="W6" s="3">
        <v>42</v>
      </c>
      <c r="X6" s="3">
        <v>42</v>
      </c>
      <c r="Y6" s="3">
        <v>42</v>
      </c>
      <c r="Z6" s="3">
        <v>42</v>
      </c>
      <c r="AA6" s="3">
        <v>42</v>
      </c>
      <c r="AB6" s="3">
        <v>26</v>
      </c>
      <c r="AC6" s="3">
        <v>0</v>
      </c>
      <c r="AD6" s="3">
        <v>0</v>
      </c>
      <c r="AE6" s="3">
        <v>0</v>
      </c>
      <c r="AF6" s="3">
        <v>0</v>
      </c>
      <c r="AG6" s="3">
        <v>0</v>
      </c>
      <c r="AH6" s="3">
        <v>0</v>
      </c>
    </row>
    <row r="7" spans="1:34" s="105" customFormat="1" x14ac:dyDescent="0.25">
      <c r="A7" s="105" t="s">
        <v>32</v>
      </c>
      <c r="D7" s="106">
        <f>+D8/C8-1</f>
        <v>9.8654708520179435E-2</v>
      </c>
      <c r="E7" s="106">
        <v>0</v>
      </c>
      <c r="F7" s="106">
        <v>0.05</v>
      </c>
      <c r="G7" s="106">
        <v>0.05</v>
      </c>
      <c r="H7" s="107">
        <v>0.05</v>
      </c>
      <c r="I7" s="107">
        <v>0.05</v>
      </c>
      <c r="J7" s="107">
        <v>0.05</v>
      </c>
      <c r="K7" s="107">
        <v>0</v>
      </c>
      <c r="L7" s="107">
        <v>0.05</v>
      </c>
      <c r="M7" s="107">
        <v>0.05</v>
      </c>
      <c r="N7" s="108">
        <f>+N8/M8-1</f>
        <v>4.9999999999999822E-2</v>
      </c>
      <c r="O7" s="130">
        <f t="shared" ref="O7:AH7" si="3">+O8/N8-1</f>
        <v>5.0000000000000044E-2</v>
      </c>
      <c r="P7" s="110">
        <f t="shared" si="3"/>
        <v>5.0000000000000044E-2</v>
      </c>
      <c r="Q7" s="110">
        <f t="shared" si="3"/>
        <v>5.0000000000000044E-2</v>
      </c>
      <c r="R7" s="110">
        <f t="shared" si="3"/>
        <v>5.0000000000000044E-2</v>
      </c>
      <c r="S7" s="110">
        <f t="shared" si="3"/>
        <v>5.0000000000000044E-2</v>
      </c>
      <c r="T7" s="110">
        <f t="shared" si="3"/>
        <v>5.0000000000000044E-2</v>
      </c>
      <c r="U7" s="110">
        <f t="shared" si="3"/>
        <v>5.0000000000000044E-2</v>
      </c>
      <c r="V7" s="110">
        <f t="shared" si="3"/>
        <v>5.0000000000000044E-2</v>
      </c>
      <c r="W7" s="110">
        <f t="shared" si="3"/>
        <v>5.0000000000000044E-2</v>
      </c>
      <c r="X7" s="110">
        <f t="shared" si="3"/>
        <v>5.0000000000000044E-2</v>
      </c>
      <c r="Y7" s="110">
        <f t="shared" si="3"/>
        <v>5.0000000000000044E-2</v>
      </c>
      <c r="Z7" s="110">
        <f t="shared" si="3"/>
        <v>5.0000000000000044E-2</v>
      </c>
      <c r="AA7" s="110">
        <f t="shared" si="3"/>
        <v>3.5718739418019396E-2</v>
      </c>
      <c r="AB7" s="110">
        <f t="shared" si="3"/>
        <v>2.5000000000000133E-2</v>
      </c>
      <c r="AC7" s="110">
        <f t="shared" si="3"/>
        <v>2.5000000000000133E-2</v>
      </c>
      <c r="AD7" s="110">
        <f t="shared" si="3"/>
        <v>2.4999999999999911E-2</v>
      </c>
      <c r="AE7" s="110">
        <f t="shared" si="3"/>
        <v>2.4999999999999911E-2</v>
      </c>
      <c r="AF7" s="110">
        <f t="shared" si="3"/>
        <v>2.4999999999999911E-2</v>
      </c>
      <c r="AG7" s="110">
        <f t="shared" si="3"/>
        <v>2.5000000000000133E-2</v>
      </c>
      <c r="AH7" s="110">
        <f t="shared" si="3"/>
        <v>2.4999999999999911E-2</v>
      </c>
    </row>
    <row r="8" spans="1:34" x14ac:dyDescent="0.25">
      <c r="A8" t="s">
        <v>3</v>
      </c>
      <c r="C8" s="3">
        <f>55.75*12</f>
        <v>669</v>
      </c>
      <c r="D8" s="3">
        <v>735</v>
      </c>
      <c r="E8" s="3">
        <v>735</v>
      </c>
      <c r="F8" s="121">
        <v>772</v>
      </c>
      <c r="G8" s="121">
        <v>810</v>
      </c>
      <c r="H8" s="122">
        <v>850</v>
      </c>
      <c r="I8" s="122">
        <v>892</v>
      </c>
      <c r="J8" s="122">
        <v>936</v>
      </c>
      <c r="K8" s="122">
        <v>936</v>
      </c>
      <c r="L8" s="122">
        <v>984</v>
      </c>
      <c r="M8" s="122">
        <v>1032</v>
      </c>
      <c r="N8" s="123">
        <v>1083.5999999999999</v>
      </c>
      <c r="O8" s="24">
        <f t="shared" ref="O8:AH8" si="4">IF(M45=0,N8,MIN(1.05*N8,1200*1.025^(O3-$F3)))</f>
        <v>1137.78</v>
      </c>
      <c r="P8" s="4">
        <f t="shared" si="4"/>
        <v>1194.6690000000001</v>
      </c>
      <c r="Q8" s="4">
        <f t="shared" si="4"/>
        <v>1254.40245</v>
      </c>
      <c r="R8" s="4">
        <f t="shared" si="4"/>
        <v>1317.1225725000002</v>
      </c>
      <c r="S8" s="4">
        <f t="shared" si="4"/>
        <v>1382.9787011250003</v>
      </c>
      <c r="T8" s="4">
        <f t="shared" si="4"/>
        <v>1452.1276361812504</v>
      </c>
      <c r="U8" s="4">
        <f t="shared" si="4"/>
        <v>1524.7340179903131</v>
      </c>
      <c r="V8" s="4">
        <f t="shared" si="4"/>
        <v>1600.9707188898287</v>
      </c>
      <c r="W8" s="4">
        <f t="shared" si="4"/>
        <v>1681.0192548343202</v>
      </c>
      <c r="X8" s="4">
        <f t="shared" si="4"/>
        <v>1765.0702175760364</v>
      </c>
      <c r="Y8" s="4">
        <f t="shared" si="4"/>
        <v>1853.3237284548384</v>
      </c>
      <c r="Z8" s="4">
        <f t="shared" si="4"/>
        <v>1945.9899148775803</v>
      </c>
      <c r="AA8" s="4">
        <f t="shared" si="4"/>
        <v>2015.4982215571863</v>
      </c>
      <c r="AB8" s="4">
        <f t="shared" si="4"/>
        <v>2065.8856770961161</v>
      </c>
      <c r="AC8" s="4">
        <f t="shared" si="4"/>
        <v>2117.5328190235191</v>
      </c>
      <c r="AD8" s="4">
        <f t="shared" si="4"/>
        <v>2170.4711394991068</v>
      </c>
      <c r="AE8" s="4">
        <f t="shared" si="4"/>
        <v>2224.7329179865842</v>
      </c>
      <c r="AF8" s="4">
        <f t="shared" si="4"/>
        <v>2280.3512409362484</v>
      </c>
      <c r="AG8" s="4">
        <f t="shared" si="4"/>
        <v>2337.3600219596547</v>
      </c>
      <c r="AH8" s="4">
        <f t="shared" si="4"/>
        <v>2395.7940225086459</v>
      </c>
    </row>
    <row r="9" spans="1:34" x14ac:dyDescent="0.25">
      <c r="A9" t="s">
        <v>4</v>
      </c>
      <c r="E9" s="44"/>
      <c r="F9" s="51"/>
      <c r="G9" s="44"/>
      <c r="H9" s="44"/>
      <c r="I9" s="44"/>
      <c r="J9" s="51"/>
      <c r="K9" s="51"/>
      <c r="L9" s="51">
        <v>2.5000000000000001E-2</v>
      </c>
      <c r="M9" s="51">
        <f t="shared" ref="M9:AH9" si="5">+L9</f>
        <v>2.5000000000000001E-2</v>
      </c>
      <c r="N9" s="97">
        <f t="shared" si="5"/>
        <v>2.5000000000000001E-2</v>
      </c>
      <c r="O9" s="47">
        <f t="shared" si="5"/>
        <v>2.5000000000000001E-2</v>
      </c>
      <c r="P9" s="17">
        <f t="shared" si="5"/>
        <v>2.5000000000000001E-2</v>
      </c>
      <c r="Q9" s="17">
        <f t="shared" si="5"/>
        <v>2.5000000000000001E-2</v>
      </c>
      <c r="R9" s="17">
        <f t="shared" si="5"/>
        <v>2.5000000000000001E-2</v>
      </c>
      <c r="S9" s="17">
        <f t="shared" si="5"/>
        <v>2.5000000000000001E-2</v>
      </c>
      <c r="T9" s="17">
        <f t="shared" si="5"/>
        <v>2.5000000000000001E-2</v>
      </c>
      <c r="U9" s="17">
        <f t="shared" si="5"/>
        <v>2.5000000000000001E-2</v>
      </c>
      <c r="V9" s="17">
        <f t="shared" si="5"/>
        <v>2.5000000000000001E-2</v>
      </c>
      <c r="W9" s="17">
        <f t="shared" si="5"/>
        <v>2.5000000000000001E-2</v>
      </c>
      <c r="X9" s="17">
        <f t="shared" si="5"/>
        <v>2.5000000000000001E-2</v>
      </c>
      <c r="Y9" s="17">
        <f t="shared" si="5"/>
        <v>2.5000000000000001E-2</v>
      </c>
      <c r="Z9" s="17">
        <f t="shared" si="5"/>
        <v>2.5000000000000001E-2</v>
      </c>
      <c r="AA9" s="17">
        <f t="shared" si="5"/>
        <v>2.5000000000000001E-2</v>
      </c>
      <c r="AB9" s="17">
        <f t="shared" si="5"/>
        <v>2.5000000000000001E-2</v>
      </c>
      <c r="AC9" s="17">
        <f t="shared" si="5"/>
        <v>2.5000000000000001E-2</v>
      </c>
      <c r="AD9" s="17">
        <f t="shared" si="5"/>
        <v>2.5000000000000001E-2</v>
      </c>
      <c r="AE9" s="17">
        <f t="shared" si="5"/>
        <v>2.5000000000000001E-2</v>
      </c>
      <c r="AF9" s="17">
        <f t="shared" si="5"/>
        <v>2.5000000000000001E-2</v>
      </c>
      <c r="AG9" s="17">
        <f t="shared" si="5"/>
        <v>2.5000000000000001E-2</v>
      </c>
      <c r="AH9" s="17">
        <f t="shared" si="5"/>
        <v>2.5000000000000001E-2</v>
      </c>
    </row>
    <row r="10" spans="1:34" x14ac:dyDescent="0.25">
      <c r="A10" t="s">
        <v>24</v>
      </c>
      <c r="E10" s="45"/>
      <c r="F10" s="45"/>
      <c r="G10" s="45"/>
      <c r="H10" s="45"/>
      <c r="I10" s="45"/>
      <c r="J10" s="45"/>
      <c r="K10" s="45"/>
      <c r="L10" s="45">
        <v>0</v>
      </c>
      <c r="M10" s="45">
        <v>0</v>
      </c>
      <c r="N10" s="70">
        <v>0</v>
      </c>
      <c r="O10" s="37">
        <v>0</v>
      </c>
      <c r="P10" s="16">
        <v>0</v>
      </c>
      <c r="Q10" s="16">
        <v>0</v>
      </c>
      <c r="R10" s="16">
        <v>0</v>
      </c>
      <c r="S10" s="16">
        <v>0</v>
      </c>
      <c r="T10" s="16">
        <v>0</v>
      </c>
      <c r="U10" s="16">
        <v>0</v>
      </c>
      <c r="V10" s="16">
        <v>0</v>
      </c>
      <c r="W10" s="16">
        <v>0</v>
      </c>
      <c r="X10" s="16">
        <v>0</v>
      </c>
      <c r="Y10" s="16">
        <v>0</v>
      </c>
      <c r="Z10" s="16">
        <v>0</v>
      </c>
      <c r="AA10" s="16">
        <v>0</v>
      </c>
      <c r="AB10" s="16">
        <v>0</v>
      </c>
      <c r="AC10" s="16">
        <v>0</v>
      </c>
      <c r="AD10" s="16">
        <v>0</v>
      </c>
      <c r="AE10" s="16">
        <v>0</v>
      </c>
      <c r="AF10" s="16">
        <v>0</v>
      </c>
      <c r="AG10" s="16">
        <v>0</v>
      </c>
      <c r="AH10" s="16">
        <v>0</v>
      </c>
    </row>
    <row r="11" spans="1:34" x14ac:dyDescent="0.25">
      <c r="A11" t="s">
        <v>25</v>
      </c>
      <c r="D11" s="18">
        <v>4.2500000000000003E-2</v>
      </c>
      <c r="E11" s="46">
        <v>4.2500000000000003E-2</v>
      </c>
      <c r="F11" s="46">
        <v>4.2500000000000003E-2</v>
      </c>
      <c r="G11" s="46">
        <v>3.2500000000000001E-2</v>
      </c>
      <c r="H11" s="46">
        <v>3.2500000000000001E-2</v>
      </c>
      <c r="I11" s="46">
        <v>3.2500000000000001E-2</v>
      </c>
      <c r="J11" s="46">
        <v>3.2500000000000001E-2</v>
      </c>
      <c r="K11" s="46">
        <v>3.2500000000000001E-2</v>
      </c>
      <c r="L11" s="46">
        <v>3.2500000000000001E-2</v>
      </c>
      <c r="M11" s="46">
        <v>3.2500000000000001E-2</v>
      </c>
      <c r="N11" s="98">
        <v>3.2500000000000001E-2</v>
      </c>
      <c r="O11" s="38">
        <v>3.2500000000000001E-2</v>
      </c>
      <c r="P11" s="18">
        <v>3.2500000000000001E-2</v>
      </c>
      <c r="Q11" s="18">
        <v>3.2500000000000001E-2</v>
      </c>
      <c r="R11" s="18">
        <v>3.2500000000000001E-2</v>
      </c>
      <c r="S11" s="18">
        <v>3.2500000000000001E-2</v>
      </c>
      <c r="T11" s="18">
        <v>3.2500000000000001E-2</v>
      </c>
      <c r="U11" s="18">
        <v>3.2500000000000001E-2</v>
      </c>
      <c r="V11" s="18">
        <v>3.2500000000000001E-2</v>
      </c>
      <c r="W11" s="18">
        <v>3.2500000000000001E-2</v>
      </c>
      <c r="X11" s="18">
        <v>3.2500000000000001E-2</v>
      </c>
      <c r="Y11" s="18">
        <v>3.2500000000000001E-2</v>
      </c>
      <c r="Z11" s="18">
        <v>3.2500000000000001E-2</v>
      </c>
      <c r="AA11" s="18">
        <v>3.2500000000000001E-2</v>
      </c>
      <c r="AB11" s="18">
        <v>3.2500000000000001E-2</v>
      </c>
      <c r="AC11" s="18">
        <v>3.2500000000000001E-2</v>
      </c>
      <c r="AD11" s="18">
        <v>3.2500000000000001E-2</v>
      </c>
      <c r="AE11" s="18">
        <v>3.2500000000000001E-2</v>
      </c>
      <c r="AF11" s="18">
        <v>3.2500000000000001E-2</v>
      </c>
      <c r="AG11" s="18">
        <v>3.2500000000000001E-2</v>
      </c>
      <c r="AH11" s="18">
        <v>3.2500000000000001E-2</v>
      </c>
    </row>
    <row r="12" spans="1:34" x14ac:dyDescent="0.25">
      <c r="N12" s="65"/>
      <c r="O12" s="21"/>
    </row>
    <row r="13" spans="1:34" x14ac:dyDescent="0.25">
      <c r="A13" s="7" t="s">
        <v>41</v>
      </c>
      <c r="I13" s="58"/>
      <c r="K13" s="58"/>
      <c r="L13" s="58"/>
      <c r="M13" s="58"/>
      <c r="N13" s="65"/>
      <c r="O13" s="21"/>
    </row>
    <row r="14" spans="1:34" x14ac:dyDescent="0.25">
      <c r="A14" t="s">
        <v>2</v>
      </c>
      <c r="C14" s="3">
        <v>214</v>
      </c>
      <c r="D14" s="3">
        <v>267</v>
      </c>
      <c r="E14" s="3">
        <v>297</v>
      </c>
      <c r="F14" s="34">
        <v>348</v>
      </c>
      <c r="G14" s="34">
        <v>398</v>
      </c>
      <c r="H14" s="34">
        <v>447</v>
      </c>
      <c r="I14" s="3">
        <v>506</v>
      </c>
      <c r="J14" s="43">
        <v>562</v>
      </c>
      <c r="K14" s="43">
        <v>606</v>
      </c>
      <c r="L14" s="43">
        <v>680</v>
      </c>
      <c r="M14" s="43">
        <v>771.11131</v>
      </c>
      <c r="N14" s="68">
        <v>861.67862000000002</v>
      </c>
      <c r="O14" s="24">
        <v>946.88755000000003</v>
      </c>
      <c r="P14" s="4">
        <f t="shared" ref="P14:AH14" si="6">+(P5+O5)/2*P8/1000</f>
        <v>1054.8927270000001</v>
      </c>
      <c r="Q14" s="4">
        <f t="shared" si="6"/>
        <v>1160.3222662500002</v>
      </c>
      <c r="R14" s="4">
        <f t="shared" si="6"/>
        <v>1273.6575276075</v>
      </c>
      <c r="S14" s="4">
        <f t="shared" si="6"/>
        <v>1395.4255094351252</v>
      </c>
      <c r="T14" s="4">
        <f t="shared" si="6"/>
        <v>1526.1861456264942</v>
      </c>
      <c r="U14" s="4">
        <f t="shared" si="6"/>
        <v>1666.5342816634122</v>
      </c>
      <c r="V14" s="4">
        <f t="shared" si="6"/>
        <v>1817.1017659399556</v>
      </c>
      <c r="W14" s="4">
        <f t="shared" si="6"/>
        <v>1978.5596629399947</v>
      </c>
      <c r="X14" s="4">
        <f t="shared" si="6"/>
        <v>2151.6205952251885</v>
      </c>
      <c r="Y14" s="4">
        <f t="shared" si="6"/>
        <v>2337.0412215815513</v>
      </c>
      <c r="Z14" s="4">
        <f t="shared" si="6"/>
        <v>2535.6248590854871</v>
      </c>
      <c r="AA14" s="4">
        <f t="shared" si="6"/>
        <v>2710.8451079944157</v>
      </c>
      <c r="AB14" s="4">
        <f t="shared" si="6"/>
        <v>2848.8563487155443</v>
      </c>
      <c r="AC14" s="4">
        <f t="shared" si="6"/>
        <v>2947.6056840807387</v>
      </c>
      <c r="AD14" s="4">
        <f t="shared" si="6"/>
        <v>3021.2958261827566</v>
      </c>
      <c r="AE14" s="4">
        <f t="shared" si="6"/>
        <v>3096.8282218373251</v>
      </c>
      <c r="AF14" s="4">
        <f t="shared" si="6"/>
        <v>3174.2489273832575</v>
      </c>
      <c r="AG14" s="4">
        <f t="shared" si="6"/>
        <v>3253.6051505678392</v>
      </c>
      <c r="AH14" s="4">
        <f t="shared" si="6"/>
        <v>3334.9452793320352</v>
      </c>
    </row>
    <row r="15" spans="1:34" x14ac:dyDescent="0.25">
      <c r="A15" t="s">
        <v>5</v>
      </c>
      <c r="C15" s="3">
        <v>5</v>
      </c>
      <c r="D15" s="3">
        <v>5</v>
      </c>
      <c r="E15" s="3">
        <v>5</v>
      </c>
      <c r="F15" s="34">
        <v>5</v>
      </c>
      <c r="G15" s="34">
        <v>5</v>
      </c>
      <c r="H15" s="34">
        <v>5</v>
      </c>
      <c r="I15" s="3">
        <v>5</v>
      </c>
      <c r="J15" s="43">
        <v>6</v>
      </c>
      <c r="K15" s="43">
        <v>0</v>
      </c>
      <c r="L15" s="43">
        <f t="shared" ref="L15:AA16" si="7">+K15*(1+L$9)</f>
        <v>0</v>
      </c>
      <c r="M15" s="43">
        <f t="shared" si="7"/>
        <v>0</v>
      </c>
      <c r="N15" s="68">
        <f t="shared" si="7"/>
        <v>0</v>
      </c>
      <c r="O15" s="24">
        <f t="shared" si="7"/>
        <v>0</v>
      </c>
      <c r="P15" s="4">
        <f t="shared" si="7"/>
        <v>0</v>
      </c>
      <c r="Q15" s="4">
        <f t="shared" si="7"/>
        <v>0</v>
      </c>
      <c r="R15" s="4">
        <f t="shared" si="7"/>
        <v>0</v>
      </c>
      <c r="S15" s="4">
        <f t="shared" si="7"/>
        <v>0</v>
      </c>
      <c r="T15" s="4">
        <f t="shared" si="7"/>
        <v>0</v>
      </c>
      <c r="U15" s="4">
        <f t="shared" si="7"/>
        <v>0</v>
      </c>
      <c r="V15" s="4">
        <f t="shared" si="7"/>
        <v>0</v>
      </c>
      <c r="W15" s="4">
        <f t="shared" si="7"/>
        <v>0</v>
      </c>
      <c r="X15" s="4">
        <f t="shared" si="7"/>
        <v>0</v>
      </c>
      <c r="Y15" s="4">
        <f t="shared" si="7"/>
        <v>0</v>
      </c>
      <c r="Z15" s="4">
        <f t="shared" si="7"/>
        <v>0</v>
      </c>
      <c r="AA15" s="4">
        <f t="shared" si="7"/>
        <v>0</v>
      </c>
      <c r="AB15" s="4">
        <f t="shared" ref="AB15:AH16" si="8">+AA15*(1+AB$9)</f>
        <v>0</v>
      </c>
      <c r="AC15" s="4">
        <f t="shared" si="8"/>
        <v>0</v>
      </c>
      <c r="AD15" s="4">
        <f t="shared" si="8"/>
        <v>0</v>
      </c>
      <c r="AE15" s="4">
        <f t="shared" si="8"/>
        <v>0</v>
      </c>
      <c r="AF15" s="4">
        <f t="shared" si="8"/>
        <v>0</v>
      </c>
      <c r="AG15" s="4">
        <f t="shared" si="8"/>
        <v>0</v>
      </c>
      <c r="AH15" s="4">
        <f t="shared" si="8"/>
        <v>0</v>
      </c>
    </row>
    <row r="16" spans="1:34" x14ac:dyDescent="0.25">
      <c r="A16" t="s">
        <v>39</v>
      </c>
      <c r="C16" s="3">
        <v>4</v>
      </c>
      <c r="D16" s="3">
        <v>3</v>
      </c>
      <c r="E16" s="3">
        <v>20</v>
      </c>
      <c r="F16" s="34">
        <v>5</v>
      </c>
      <c r="G16" s="34">
        <v>5</v>
      </c>
      <c r="H16" s="34">
        <v>5</v>
      </c>
      <c r="I16" s="3">
        <v>13</v>
      </c>
      <c r="J16" s="43">
        <v>23</v>
      </c>
      <c r="K16" s="43">
        <v>30</v>
      </c>
      <c r="L16" s="43">
        <v>49</v>
      </c>
      <c r="M16" s="43">
        <v>23.773009999999999</v>
      </c>
      <c r="N16" s="68">
        <v>27.802</v>
      </c>
      <c r="O16" s="24">
        <v>20.010000000000002</v>
      </c>
      <c r="P16" s="4">
        <f t="shared" si="7"/>
        <v>20.510249999999999</v>
      </c>
      <c r="Q16" s="4">
        <f t="shared" si="7"/>
        <v>21.023006249999998</v>
      </c>
      <c r="R16" s="4">
        <f t="shared" si="7"/>
        <v>21.548581406249998</v>
      </c>
      <c r="S16" s="4">
        <f t="shared" si="7"/>
        <v>22.087295941406246</v>
      </c>
      <c r="T16" s="4">
        <f t="shared" si="7"/>
        <v>22.639478339941402</v>
      </c>
      <c r="U16" s="4">
        <f t="shared" si="7"/>
        <v>23.205465298439936</v>
      </c>
      <c r="V16" s="4">
        <f t="shared" si="7"/>
        <v>23.785601930900931</v>
      </c>
      <c r="W16" s="4">
        <f t="shared" si="7"/>
        <v>24.380241979173451</v>
      </c>
      <c r="X16" s="4">
        <f t="shared" si="7"/>
        <v>24.989748028652787</v>
      </c>
      <c r="Y16" s="4">
        <f t="shared" si="7"/>
        <v>25.614491729369107</v>
      </c>
      <c r="Z16" s="4">
        <f t="shared" si="7"/>
        <v>26.254854022603332</v>
      </c>
      <c r="AA16" s="4">
        <f t="shared" si="7"/>
        <v>26.911225373168413</v>
      </c>
      <c r="AB16" s="4">
        <f t="shared" si="8"/>
        <v>27.584006007497621</v>
      </c>
      <c r="AC16" s="4">
        <f t="shared" si="8"/>
        <v>28.273606157685059</v>
      </c>
      <c r="AD16" s="4">
        <f t="shared" si="8"/>
        <v>28.980446311627183</v>
      </c>
      <c r="AE16" s="4">
        <f t="shared" si="8"/>
        <v>29.70495746941786</v>
      </c>
      <c r="AF16" s="4">
        <f t="shared" si="8"/>
        <v>30.447581406153304</v>
      </c>
      <c r="AG16" s="4">
        <f t="shared" si="8"/>
        <v>31.208770941307133</v>
      </c>
      <c r="AH16" s="4">
        <f t="shared" si="8"/>
        <v>31.988990214839809</v>
      </c>
    </row>
    <row r="17" spans="1:34" x14ac:dyDescent="0.25">
      <c r="A17" t="s">
        <v>6</v>
      </c>
      <c r="C17" s="34">
        <v>0</v>
      </c>
      <c r="D17" s="34">
        <v>0</v>
      </c>
      <c r="E17" s="34">
        <v>0</v>
      </c>
      <c r="F17" s="34">
        <v>0</v>
      </c>
      <c r="G17" s="34">
        <v>0</v>
      </c>
      <c r="H17" s="95">
        <v>0</v>
      </c>
      <c r="I17" s="3">
        <v>0</v>
      </c>
      <c r="J17" s="43">
        <v>0</v>
      </c>
      <c r="K17" s="43">
        <v>0</v>
      </c>
      <c r="L17" s="43">
        <v>0</v>
      </c>
      <c r="M17" s="43">
        <v>0</v>
      </c>
      <c r="N17" s="68">
        <v>0</v>
      </c>
      <c r="O17" s="24">
        <v>0</v>
      </c>
      <c r="P17" s="4">
        <v>0</v>
      </c>
      <c r="Q17" s="4">
        <v>0</v>
      </c>
      <c r="R17" s="4"/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4">
        <v>0</v>
      </c>
      <c r="AA17" s="4">
        <v>0</v>
      </c>
      <c r="AB17" s="4">
        <v>0</v>
      </c>
      <c r="AC17" s="4">
        <v>0</v>
      </c>
      <c r="AD17" s="4">
        <v>0</v>
      </c>
      <c r="AE17" s="4">
        <v>0</v>
      </c>
      <c r="AF17" s="4">
        <v>0</v>
      </c>
      <c r="AG17" s="4">
        <v>0</v>
      </c>
      <c r="AH17" s="4">
        <v>0</v>
      </c>
    </row>
    <row r="18" spans="1:34" x14ac:dyDescent="0.25">
      <c r="A18" t="s">
        <v>12</v>
      </c>
      <c r="C18" s="3">
        <f>940-77-359</f>
        <v>504</v>
      </c>
      <c r="D18" s="3">
        <v>580</v>
      </c>
      <c r="E18" s="3">
        <v>672</v>
      </c>
      <c r="F18" s="52">
        <v>696</v>
      </c>
      <c r="G18" s="52">
        <v>717</v>
      </c>
      <c r="H18" s="8">
        <v>669</v>
      </c>
      <c r="I18" s="10">
        <v>592</v>
      </c>
      <c r="J18" s="10">
        <v>573</v>
      </c>
      <c r="K18" s="10">
        <v>544</v>
      </c>
      <c r="L18" s="10">
        <v>583</v>
      </c>
      <c r="M18" s="10">
        <v>645.65287999999953</v>
      </c>
      <c r="N18" s="72">
        <v>721.51774699999999</v>
      </c>
      <c r="O18" s="39">
        <v>775.85552615748372</v>
      </c>
      <c r="P18" s="10">
        <f>O18*(1+P9)+SUM(20*12*202/1000)</f>
        <v>843.73191431142072</v>
      </c>
      <c r="Q18" s="10">
        <f>P18*(1+Q9)+SUM(20*12*210/1000)</f>
        <v>915.22521216920609</v>
      </c>
      <c r="R18" s="10">
        <f t="shared" ref="R18:AH18" si="9">Q18*(1+R9)</f>
        <v>938.10584247343616</v>
      </c>
      <c r="S18" s="10">
        <f t="shared" si="9"/>
        <v>961.55848853527198</v>
      </c>
      <c r="T18" s="10">
        <f t="shared" si="9"/>
        <v>985.59745074865373</v>
      </c>
      <c r="U18" s="10">
        <f t="shared" si="9"/>
        <v>1010.23738701737</v>
      </c>
      <c r="V18" s="10">
        <f t="shared" si="9"/>
        <v>1035.4933216928041</v>
      </c>
      <c r="W18" s="10">
        <f t="shared" si="9"/>
        <v>1061.3806547351242</v>
      </c>
      <c r="X18" s="10">
        <f t="shared" si="9"/>
        <v>1087.9151711035022</v>
      </c>
      <c r="Y18" s="10">
        <f t="shared" si="9"/>
        <v>1115.1130503810896</v>
      </c>
      <c r="Z18" s="10">
        <f t="shared" si="9"/>
        <v>1142.9908766406168</v>
      </c>
      <c r="AA18" s="10">
        <f t="shared" si="9"/>
        <v>1171.5656485566321</v>
      </c>
      <c r="AB18" s="10">
        <f t="shared" si="9"/>
        <v>1200.8547897705478</v>
      </c>
      <c r="AC18" s="10">
        <f t="shared" si="9"/>
        <v>1230.8761595148114</v>
      </c>
      <c r="AD18" s="10">
        <f t="shared" si="9"/>
        <v>1261.6480635026817</v>
      </c>
      <c r="AE18" s="10">
        <f t="shared" si="9"/>
        <v>1293.1892650902487</v>
      </c>
      <c r="AF18" s="10">
        <f t="shared" si="9"/>
        <v>1325.5189967175047</v>
      </c>
      <c r="AG18" s="10">
        <f t="shared" si="9"/>
        <v>1358.6569716354422</v>
      </c>
      <c r="AH18" s="10">
        <f t="shared" si="9"/>
        <v>1392.6233959263282</v>
      </c>
    </row>
    <row r="19" spans="1:34" x14ac:dyDescent="0.25">
      <c r="A19" s="6" t="s">
        <v>43</v>
      </c>
      <c r="C19" s="13">
        <f>SUM(C14:C18)</f>
        <v>727</v>
      </c>
      <c r="D19" s="35">
        <f t="shared" ref="D19:AH19" si="10">SUM(D14:D18)</f>
        <v>855</v>
      </c>
      <c r="E19" s="35">
        <f t="shared" si="10"/>
        <v>994</v>
      </c>
      <c r="F19" s="35">
        <f t="shared" si="10"/>
        <v>1054</v>
      </c>
      <c r="G19" s="35">
        <f t="shared" si="10"/>
        <v>1125</v>
      </c>
      <c r="H19" s="35">
        <f t="shared" si="10"/>
        <v>1126</v>
      </c>
      <c r="I19" s="35">
        <f t="shared" si="10"/>
        <v>1116</v>
      </c>
      <c r="J19" s="35">
        <f t="shared" si="10"/>
        <v>1164</v>
      </c>
      <c r="K19" s="35">
        <f t="shared" si="10"/>
        <v>1180</v>
      </c>
      <c r="L19" s="35">
        <f t="shared" si="10"/>
        <v>1312</v>
      </c>
      <c r="M19" s="35">
        <f t="shared" si="10"/>
        <v>1440.5371999999995</v>
      </c>
      <c r="N19" s="74">
        <f t="shared" si="10"/>
        <v>1610.9983670000001</v>
      </c>
      <c r="O19" s="29">
        <f t="shared" si="10"/>
        <v>1742.7530761574837</v>
      </c>
      <c r="P19" s="13">
        <f t="shared" si="10"/>
        <v>1919.1348913114209</v>
      </c>
      <c r="Q19" s="13">
        <f t="shared" si="10"/>
        <v>2096.5704846692061</v>
      </c>
      <c r="R19" s="13">
        <f t="shared" si="10"/>
        <v>2233.311951487186</v>
      </c>
      <c r="S19" s="13">
        <f t="shared" si="10"/>
        <v>2379.0712939118034</v>
      </c>
      <c r="T19" s="13">
        <f t="shared" si="10"/>
        <v>2534.4230747150896</v>
      </c>
      <c r="U19" s="13">
        <f t="shared" si="10"/>
        <v>2699.9771339792223</v>
      </c>
      <c r="V19" s="13">
        <f t="shared" si="10"/>
        <v>2876.3806895636608</v>
      </c>
      <c r="W19" s="13">
        <f t="shared" si="10"/>
        <v>3064.3205596542921</v>
      </c>
      <c r="X19" s="13">
        <f t="shared" si="10"/>
        <v>3264.5255143573431</v>
      </c>
      <c r="Y19" s="13">
        <f t="shared" si="10"/>
        <v>3477.76876369201</v>
      </c>
      <c r="Z19" s="13">
        <f t="shared" si="10"/>
        <v>3704.8705897487071</v>
      </c>
      <c r="AA19" s="13">
        <f t="shared" si="10"/>
        <v>3909.3219819242158</v>
      </c>
      <c r="AB19" s="13">
        <f t="shared" si="10"/>
        <v>4077.2951444935898</v>
      </c>
      <c r="AC19" s="13">
        <f t="shared" si="10"/>
        <v>4206.7554497532356</v>
      </c>
      <c r="AD19" s="13">
        <f t="shared" si="10"/>
        <v>4311.9243359970651</v>
      </c>
      <c r="AE19" s="13">
        <f t="shared" si="10"/>
        <v>4419.7224443969917</v>
      </c>
      <c r="AF19" s="13">
        <f t="shared" si="10"/>
        <v>4530.2155055069161</v>
      </c>
      <c r="AG19" s="13">
        <f t="shared" si="10"/>
        <v>4643.4708931445884</v>
      </c>
      <c r="AH19" s="13">
        <f t="shared" si="10"/>
        <v>4759.5576654732031</v>
      </c>
    </row>
    <row r="20" spans="1:34" x14ac:dyDescent="0.25">
      <c r="A20" s="56" t="s">
        <v>53</v>
      </c>
      <c r="D20" s="55">
        <f>+D19/C19-1</f>
        <v>0.17606602475928468</v>
      </c>
      <c r="E20" s="55">
        <f t="shared" ref="E20:AH20" si="11">+E19/D19-1</f>
        <v>0.16257309941520459</v>
      </c>
      <c r="F20" s="55">
        <f t="shared" si="11"/>
        <v>6.0362173038229328E-2</v>
      </c>
      <c r="G20" s="55">
        <f t="shared" si="11"/>
        <v>6.7362428842504762E-2</v>
      </c>
      <c r="H20" s="55">
        <f t="shared" si="11"/>
        <v>8.8888888888893902E-4</v>
      </c>
      <c r="I20" s="55">
        <f t="shared" si="11"/>
        <v>-8.8809946714032417E-3</v>
      </c>
      <c r="J20" s="55">
        <f t="shared" si="11"/>
        <v>4.3010752688172005E-2</v>
      </c>
      <c r="K20" s="55">
        <f t="shared" si="11"/>
        <v>1.3745704467353903E-2</v>
      </c>
      <c r="L20" s="55">
        <f t="shared" si="11"/>
        <v>0.11186440677966103</v>
      </c>
      <c r="M20" s="55">
        <f t="shared" si="11"/>
        <v>9.7970426829268042E-2</v>
      </c>
      <c r="N20" s="75">
        <f t="shared" si="11"/>
        <v>0.11833166613121882</v>
      </c>
      <c r="O20" s="57">
        <f t="shared" si="11"/>
        <v>8.1784508200859918E-2</v>
      </c>
      <c r="P20" s="55">
        <f t="shared" si="11"/>
        <v>0.1012087240395716</v>
      </c>
      <c r="Q20" s="55">
        <f t="shared" si="11"/>
        <v>9.2456030142069157E-2</v>
      </c>
      <c r="R20" s="55">
        <f t="shared" si="11"/>
        <v>6.52214975923191E-2</v>
      </c>
      <c r="S20" s="55">
        <f t="shared" si="11"/>
        <v>6.5266002059208406E-2</v>
      </c>
      <c r="T20" s="55">
        <f t="shared" si="11"/>
        <v>6.5299338107622562E-2</v>
      </c>
      <c r="U20" s="55">
        <f t="shared" si="11"/>
        <v>6.5322187489452066E-2</v>
      </c>
      <c r="V20" s="55">
        <f t="shared" si="11"/>
        <v>6.5335203533540831E-2</v>
      </c>
      <c r="W20" s="55">
        <f t="shared" si="11"/>
        <v>6.533901119991925E-2</v>
      </c>
      <c r="X20" s="55">
        <f t="shared" si="11"/>
        <v>6.5334207308140657E-2</v>
      </c>
      <c r="Y20" s="55">
        <f t="shared" si="11"/>
        <v>6.5321360913500603E-2</v>
      </c>
      <c r="Z20" s="55">
        <f t="shared" si="11"/>
        <v>6.5301013807371522E-2</v>
      </c>
      <c r="AA20" s="55">
        <f t="shared" si="11"/>
        <v>5.5184489504497503E-2</v>
      </c>
      <c r="AB20" s="55">
        <f t="shared" si="11"/>
        <v>4.2967338926300336E-2</v>
      </c>
      <c r="AC20" s="55">
        <f t="shared" si="11"/>
        <v>3.1751516795266221E-2</v>
      </c>
      <c r="AD20" s="55">
        <f t="shared" si="11"/>
        <v>2.4999999999999689E-2</v>
      </c>
      <c r="AE20" s="55">
        <f t="shared" si="11"/>
        <v>2.4999999999999911E-2</v>
      </c>
      <c r="AF20" s="55">
        <f t="shared" si="11"/>
        <v>2.4999999999999911E-2</v>
      </c>
      <c r="AG20" s="55">
        <f t="shared" si="11"/>
        <v>2.4999999999999911E-2</v>
      </c>
      <c r="AH20" s="55">
        <f t="shared" si="11"/>
        <v>2.4999999999999911E-2</v>
      </c>
    </row>
    <row r="21" spans="1:34" x14ac:dyDescent="0.25">
      <c r="A21" s="7" t="s">
        <v>44</v>
      </c>
      <c r="N21" s="65"/>
      <c r="O21" s="21"/>
      <c r="P21" s="134"/>
      <c r="Q21" s="134"/>
      <c r="R21" s="134"/>
      <c r="S21" s="134"/>
      <c r="T21" s="134"/>
    </row>
    <row r="22" spans="1:34" x14ac:dyDescent="0.25">
      <c r="A22" t="s">
        <v>75</v>
      </c>
      <c r="C22" s="8">
        <f>508-178+42</f>
        <v>372</v>
      </c>
      <c r="D22" s="8">
        <v>347</v>
      </c>
      <c r="E22" s="8">
        <f>563-229+46</f>
        <v>380</v>
      </c>
      <c r="F22" s="8">
        <f>589-252+43</f>
        <v>380</v>
      </c>
      <c r="G22" s="8">
        <f>45+565-207</f>
        <v>403</v>
      </c>
      <c r="H22" s="8">
        <f>598-221+48</f>
        <v>425</v>
      </c>
      <c r="I22" s="100">
        <f>440+51</f>
        <v>491</v>
      </c>
      <c r="J22" s="100">
        <f>405+49+4-19</f>
        <v>439</v>
      </c>
      <c r="K22" s="100">
        <f>341+38-2-22</f>
        <v>355</v>
      </c>
      <c r="L22" s="100">
        <f>380+71+3-28</f>
        <v>426</v>
      </c>
      <c r="M22" s="100">
        <v>459.32612999999975</v>
      </c>
      <c r="N22" s="92">
        <v>451.46163999999993</v>
      </c>
      <c r="O22" s="40">
        <v>433.52487347583377</v>
      </c>
      <c r="P22" s="9">
        <f t="shared" ref="P22:AC23" si="12">+O22*(1+P$9)</f>
        <v>444.36299531272959</v>
      </c>
      <c r="Q22" s="9">
        <f t="shared" si="12"/>
        <v>455.47207019554781</v>
      </c>
      <c r="R22" s="9">
        <f t="shared" si="12"/>
        <v>466.85887195043648</v>
      </c>
      <c r="S22" s="9">
        <f t="shared" si="12"/>
        <v>478.53034374919736</v>
      </c>
      <c r="T22" s="9">
        <f t="shared" si="12"/>
        <v>490.49360234292726</v>
      </c>
      <c r="U22" s="9">
        <f t="shared" si="12"/>
        <v>502.75594240150042</v>
      </c>
      <c r="V22" s="9">
        <f t="shared" si="12"/>
        <v>515.32484096153792</v>
      </c>
      <c r="W22" s="9">
        <f t="shared" si="12"/>
        <v>528.20796198557628</v>
      </c>
      <c r="X22" s="9">
        <f t="shared" si="12"/>
        <v>541.41316103521558</v>
      </c>
      <c r="Y22" s="9">
        <f t="shared" si="12"/>
        <v>554.94849006109587</v>
      </c>
      <c r="Z22" s="9">
        <f t="shared" si="12"/>
        <v>568.82220231262318</v>
      </c>
      <c r="AA22" s="9">
        <f t="shared" si="12"/>
        <v>583.04275737043872</v>
      </c>
      <c r="AB22" s="9">
        <f t="shared" si="12"/>
        <v>597.61882630469961</v>
      </c>
      <c r="AC22" s="9">
        <f t="shared" si="12"/>
        <v>612.55929696231703</v>
      </c>
      <c r="AD22" s="9">
        <f t="shared" ref="AD22:AH23" si="13">+AC22*(1+AD$9)</f>
        <v>627.87327938637486</v>
      </c>
      <c r="AE22" s="9">
        <f t="shared" si="13"/>
        <v>643.57011137103416</v>
      </c>
      <c r="AF22" s="9">
        <f t="shared" si="13"/>
        <v>659.65936415530996</v>
      </c>
      <c r="AG22" s="9">
        <f t="shared" si="13"/>
        <v>676.15084825919268</v>
      </c>
      <c r="AH22" s="9">
        <f t="shared" si="13"/>
        <v>693.05461946567243</v>
      </c>
    </row>
    <row r="23" spans="1:34" x14ac:dyDescent="0.25">
      <c r="A23" t="s">
        <v>8</v>
      </c>
      <c r="C23" s="8">
        <v>772</v>
      </c>
      <c r="D23" s="8">
        <v>733</v>
      </c>
      <c r="E23" s="8">
        <v>698</v>
      </c>
      <c r="F23" s="8">
        <v>729</v>
      </c>
      <c r="G23" s="8">
        <v>748</v>
      </c>
      <c r="H23" s="8">
        <v>731</v>
      </c>
      <c r="I23" s="100">
        <v>723</v>
      </c>
      <c r="J23" s="100">
        <f>737-31</f>
        <v>706</v>
      </c>
      <c r="K23" s="100">
        <f>776-33</f>
        <v>743</v>
      </c>
      <c r="L23" s="100">
        <f>763-33</f>
        <v>730</v>
      </c>
      <c r="M23" s="100">
        <v>722.10502999999994</v>
      </c>
      <c r="N23" s="92">
        <v>632.94849999999997</v>
      </c>
      <c r="O23" s="40">
        <v>775.92124761619255</v>
      </c>
      <c r="P23" s="9">
        <f t="shared" si="12"/>
        <v>795.31927880659725</v>
      </c>
      <c r="Q23" s="9">
        <f t="shared" si="12"/>
        <v>815.20226077676216</v>
      </c>
      <c r="R23" s="9">
        <f t="shared" si="12"/>
        <v>835.58231729618115</v>
      </c>
      <c r="S23" s="9">
        <f t="shared" si="12"/>
        <v>856.47187522858565</v>
      </c>
      <c r="T23" s="9">
        <f t="shared" si="12"/>
        <v>877.88367210930016</v>
      </c>
      <c r="U23" s="9">
        <f t="shared" si="12"/>
        <v>899.83076391203258</v>
      </c>
      <c r="V23" s="9">
        <f t="shared" si="12"/>
        <v>922.32653300983327</v>
      </c>
      <c r="W23" s="9">
        <f t="shared" si="12"/>
        <v>945.38469633507907</v>
      </c>
      <c r="X23" s="9">
        <f t="shared" si="12"/>
        <v>969.019313743456</v>
      </c>
      <c r="Y23" s="9">
        <f t="shared" si="12"/>
        <v>993.24479658704229</v>
      </c>
      <c r="Z23" s="9">
        <f t="shared" si="12"/>
        <v>1018.0759165017182</v>
      </c>
      <c r="AA23" s="9">
        <f t="shared" si="12"/>
        <v>1043.527814414261</v>
      </c>
      <c r="AB23" s="9">
        <f t="shared" si="12"/>
        <v>1069.6160097746174</v>
      </c>
      <c r="AC23" s="9">
        <f t="shared" si="12"/>
        <v>1096.3564100189828</v>
      </c>
      <c r="AD23" s="9">
        <f t="shared" si="13"/>
        <v>1123.7653202694573</v>
      </c>
      <c r="AE23" s="9">
        <f t="shared" si="13"/>
        <v>1151.8594532761936</v>
      </c>
      <c r="AF23" s="9">
        <f t="shared" si="13"/>
        <v>1180.6559396080984</v>
      </c>
      <c r="AG23" s="9">
        <f t="shared" si="13"/>
        <v>1210.1723380983008</v>
      </c>
      <c r="AH23" s="9">
        <f t="shared" si="13"/>
        <v>1240.4266465507583</v>
      </c>
    </row>
    <row r="24" spans="1:34" x14ac:dyDescent="0.25">
      <c r="A24" t="s">
        <v>30</v>
      </c>
      <c r="C24" s="8">
        <v>0</v>
      </c>
      <c r="D24" s="8">
        <v>0</v>
      </c>
      <c r="E24" s="8">
        <v>0</v>
      </c>
      <c r="F24" s="8">
        <v>0</v>
      </c>
      <c r="G24" s="8">
        <v>0</v>
      </c>
      <c r="H24" s="8">
        <v>0</v>
      </c>
      <c r="I24" s="100">
        <f t="shared" ref="I24:AH24" si="14">+H24*(1+I9)</f>
        <v>0</v>
      </c>
      <c r="J24" s="100">
        <f t="shared" si="14"/>
        <v>0</v>
      </c>
      <c r="K24" s="100">
        <f t="shared" si="14"/>
        <v>0</v>
      </c>
      <c r="L24" s="100">
        <f t="shared" si="14"/>
        <v>0</v>
      </c>
      <c r="M24" s="100">
        <f t="shared" si="14"/>
        <v>0</v>
      </c>
      <c r="N24" s="92">
        <f t="shared" si="14"/>
        <v>0</v>
      </c>
      <c r="O24" s="40">
        <f t="shared" si="14"/>
        <v>0</v>
      </c>
      <c r="P24" s="9">
        <f t="shared" si="14"/>
        <v>0</v>
      </c>
      <c r="Q24" s="9">
        <f t="shared" si="14"/>
        <v>0</v>
      </c>
      <c r="R24" s="9">
        <f t="shared" si="14"/>
        <v>0</v>
      </c>
      <c r="S24" s="9">
        <f t="shared" si="14"/>
        <v>0</v>
      </c>
      <c r="T24" s="9">
        <f t="shared" si="14"/>
        <v>0</v>
      </c>
      <c r="U24" s="9">
        <f t="shared" si="14"/>
        <v>0</v>
      </c>
      <c r="V24" s="9">
        <f t="shared" si="14"/>
        <v>0</v>
      </c>
      <c r="W24" s="9">
        <f t="shared" si="14"/>
        <v>0</v>
      </c>
      <c r="X24" s="9">
        <f t="shared" si="14"/>
        <v>0</v>
      </c>
      <c r="Y24" s="9">
        <f t="shared" si="14"/>
        <v>0</v>
      </c>
      <c r="Z24" s="9">
        <f t="shared" si="14"/>
        <v>0</v>
      </c>
      <c r="AA24" s="9">
        <f t="shared" si="14"/>
        <v>0</v>
      </c>
      <c r="AB24" s="9">
        <f t="shared" si="14"/>
        <v>0</v>
      </c>
      <c r="AC24" s="9">
        <f t="shared" si="14"/>
        <v>0</v>
      </c>
      <c r="AD24" s="9">
        <f t="shared" si="14"/>
        <v>0</v>
      </c>
      <c r="AE24" s="9">
        <f t="shared" si="14"/>
        <v>0</v>
      </c>
      <c r="AF24" s="9">
        <f t="shared" si="14"/>
        <v>0</v>
      </c>
      <c r="AG24" s="9">
        <f t="shared" si="14"/>
        <v>0</v>
      </c>
      <c r="AH24" s="9">
        <f t="shared" si="14"/>
        <v>0</v>
      </c>
    </row>
    <row r="25" spans="1:34" x14ac:dyDescent="0.25">
      <c r="A25" t="s">
        <v>9</v>
      </c>
      <c r="C25" s="8">
        <f>116+42-47</f>
        <v>111</v>
      </c>
      <c r="D25" s="8">
        <v>81</v>
      </c>
      <c r="E25" s="8">
        <f>98+46-57</f>
        <v>87</v>
      </c>
      <c r="F25" s="8">
        <f>111-13</f>
        <v>98</v>
      </c>
      <c r="G25" s="8">
        <f>118-3</f>
        <v>115</v>
      </c>
      <c r="H25" s="8">
        <v>111</v>
      </c>
      <c r="I25" s="100">
        <v>105</v>
      </c>
      <c r="J25" s="100">
        <v>120</v>
      </c>
      <c r="K25" s="100">
        <v>152</v>
      </c>
      <c r="L25" s="100">
        <v>114</v>
      </c>
      <c r="M25" s="100">
        <v>144.54635000000002</v>
      </c>
      <c r="N25" s="92">
        <v>111.78326999999999</v>
      </c>
      <c r="O25" s="40">
        <v>126.30309480849577</v>
      </c>
      <c r="P25" s="9">
        <f>+O25*(1+P$9)</f>
        <v>129.46067217870817</v>
      </c>
      <c r="Q25" s="9">
        <f t="shared" ref="Q25:AH25" si="15">+P25*(1+Q$9)</f>
        <v>132.69718898317586</v>
      </c>
      <c r="R25" s="9">
        <f t="shared" si="15"/>
        <v>136.01461870775526</v>
      </c>
      <c r="S25" s="9">
        <f t="shared" si="15"/>
        <v>139.41498417544912</v>
      </c>
      <c r="T25" s="9">
        <f t="shared" si="15"/>
        <v>142.90035877983533</v>
      </c>
      <c r="U25" s="9">
        <f t="shared" si="15"/>
        <v>146.47286774933119</v>
      </c>
      <c r="V25" s="9">
        <f t="shared" si="15"/>
        <v>150.13468944306445</v>
      </c>
      <c r="W25" s="9">
        <f t="shared" si="15"/>
        <v>153.88805667914104</v>
      </c>
      <c r="X25" s="9">
        <f t="shared" si="15"/>
        <v>157.73525809611957</v>
      </c>
      <c r="Y25" s="9">
        <f t="shared" si="15"/>
        <v>161.67863954852254</v>
      </c>
      <c r="Z25" s="9">
        <f t="shared" si="15"/>
        <v>165.7206055372356</v>
      </c>
      <c r="AA25" s="9">
        <f t="shared" si="15"/>
        <v>169.86362067566648</v>
      </c>
      <c r="AB25" s="9">
        <f t="shared" si="15"/>
        <v>174.11021119255813</v>
      </c>
      <c r="AC25" s="9">
        <f t="shared" si="15"/>
        <v>178.46296647237207</v>
      </c>
      <c r="AD25" s="9">
        <f t="shared" si="15"/>
        <v>182.92454063418137</v>
      </c>
      <c r="AE25" s="9">
        <f t="shared" si="15"/>
        <v>187.49765415003588</v>
      </c>
      <c r="AF25" s="9">
        <f t="shared" si="15"/>
        <v>192.18509550378675</v>
      </c>
      <c r="AG25" s="9">
        <f t="shared" si="15"/>
        <v>196.9897228913814</v>
      </c>
      <c r="AH25" s="9">
        <f t="shared" si="15"/>
        <v>201.91446596366592</v>
      </c>
    </row>
    <row r="26" spans="1:34" x14ac:dyDescent="0.25">
      <c r="A26" t="s">
        <v>10</v>
      </c>
      <c r="C26" s="8">
        <v>22</v>
      </c>
      <c r="D26" s="8">
        <v>14</v>
      </c>
      <c r="E26" s="8">
        <v>31</v>
      </c>
      <c r="F26" s="8">
        <v>15</v>
      </c>
      <c r="G26" s="8">
        <v>18</v>
      </c>
      <c r="H26" s="8">
        <v>10</v>
      </c>
      <c r="I26" s="8">
        <v>30</v>
      </c>
      <c r="J26" s="8">
        <v>38</v>
      </c>
      <c r="K26" s="100">
        <v>31</v>
      </c>
      <c r="L26" s="100">
        <v>40</v>
      </c>
      <c r="M26" s="100">
        <v>57.382570000000122</v>
      </c>
      <c r="N26" s="92">
        <v>-2.6967100000000208</v>
      </c>
      <c r="O26" s="40">
        <v>-0.83799442557850856</v>
      </c>
      <c r="P26" s="9">
        <f t="shared" ref="P26:AH29" si="16">+O26*(1+P$9)</f>
        <v>-0.85894428621797125</v>
      </c>
      <c r="Q26" s="9">
        <f t="shared" si="16"/>
        <v>-0.88041789337342047</v>
      </c>
      <c r="R26" s="9">
        <f t="shared" si="16"/>
        <v>-0.9024283407077559</v>
      </c>
      <c r="S26" s="9">
        <f t="shared" si="16"/>
        <v>-0.92498904922544978</v>
      </c>
      <c r="T26" s="9">
        <f t="shared" si="16"/>
        <v>-0.94811377545608599</v>
      </c>
      <c r="U26" s="9">
        <f t="shared" si="16"/>
        <v>-0.97181661984248802</v>
      </c>
      <c r="V26" s="9">
        <f t="shared" si="16"/>
        <v>-0.99611203533855008</v>
      </c>
      <c r="W26" s="9">
        <f t="shared" si="16"/>
        <v>-1.0210148362220137</v>
      </c>
      <c r="X26" s="9">
        <f t="shared" si="16"/>
        <v>-1.046540207127564</v>
      </c>
      <c r="Y26" s="9">
        <f t="shared" si="16"/>
        <v>-1.072703712305753</v>
      </c>
      <c r="Z26" s="9">
        <f t="shared" si="16"/>
        <v>-1.0995213051133967</v>
      </c>
      <c r="AA26" s="9">
        <f t="shared" si="16"/>
        <v>-1.1270093377412316</v>
      </c>
      <c r="AB26" s="9">
        <f t="shared" si="16"/>
        <v>-1.1551845711847624</v>
      </c>
      <c r="AC26" s="9">
        <f t="shared" si="16"/>
        <v>-1.1840641854643814</v>
      </c>
      <c r="AD26" s="9">
        <f t="shared" si="16"/>
        <v>-1.2136657901009908</v>
      </c>
      <c r="AE26" s="9">
        <f t="shared" si="16"/>
        <v>-1.2440074348535155</v>
      </c>
      <c r="AF26" s="9">
        <f t="shared" si="16"/>
        <v>-1.2751076207248533</v>
      </c>
      <c r="AG26" s="9">
        <f t="shared" si="16"/>
        <v>-1.3069853112429746</v>
      </c>
      <c r="AH26" s="9">
        <f t="shared" si="16"/>
        <v>-1.3396599440240489</v>
      </c>
    </row>
    <row r="27" spans="1:34" x14ac:dyDescent="0.25">
      <c r="A27" t="s">
        <v>11</v>
      </c>
      <c r="C27" s="8">
        <f>15-9</f>
        <v>6</v>
      </c>
      <c r="D27" s="8">
        <v>4</v>
      </c>
      <c r="E27" s="8">
        <v>8</v>
      </c>
      <c r="F27" s="8">
        <v>8</v>
      </c>
      <c r="G27" s="8">
        <v>13</v>
      </c>
      <c r="H27" s="8">
        <v>11</v>
      </c>
      <c r="I27" s="100">
        <v>19</v>
      </c>
      <c r="J27" s="100">
        <v>13</v>
      </c>
      <c r="K27" s="100">
        <v>11</v>
      </c>
      <c r="L27" s="100">
        <v>15</v>
      </c>
      <c r="M27" s="100">
        <v>34.178429999999992</v>
      </c>
      <c r="N27" s="92">
        <v>32.128859999999996</v>
      </c>
      <c r="O27" s="40">
        <v>48.618090103248008</v>
      </c>
      <c r="P27" s="9">
        <f t="shared" si="16"/>
        <v>49.833542355829202</v>
      </c>
      <c r="Q27" s="9">
        <f t="shared" si="16"/>
        <v>51.079380914724929</v>
      </c>
      <c r="R27" s="9">
        <f t="shared" si="16"/>
        <v>52.356365437593048</v>
      </c>
      <c r="S27" s="9">
        <f t="shared" si="16"/>
        <v>53.665274573532869</v>
      </c>
      <c r="T27" s="9">
        <f t="shared" si="16"/>
        <v>55.006906437871187</v>
      </c>
      <c r="U27" s="9">
        <f t="shared" si="16"/>
        <v>56.382079098817961</v>
      </c>
      <c r="V27" s="9">
        <f t="shared" si="16"/>
        <v>57.791631076288404</v>
      </c>
      <c r="W27" s="9">
        <f t="shared" si="16"/>
        <v>59.236421853195608</v>
      </c>
      <c r="X27" s="9">
        <f t="shared" si="16"/>
        <v>60.717332399525496</v>
      </c>
      <c r="Y27" s="9">
        <f t="shared" si="16"/>
        <v>62.235265709513627</v>
      </c>
      <c r="Z27" s="9">
        <f t="shared" si="16"/>
        <v>63.791147352251464</v>
      </c>
      <c r="AA27" s="9">
        <f t="shared" si="16"/>
        <v>65.385926036057739</v>
      </c>
      <c r="AB27" s="9">
        <f t="shared" si="16"/>
        <v>67.02057418695918</v>
      </c>
      <c r="AC27" s="9">
        <f t="shared" si="16"/>
        <v>68.696088541633159</v>
      </c>
      <c r="AD27" s="9">
        <f t="shared" si="16"/>
        <v>70.413490755173981</v>
      </c>
      <c r="AE27" s="9">
        <f t="shared" si="16"/>
        <v>72.173828024053321</v>
      </c>
      <c r="AF27" s="9">
        <f t="shared" si="16"/>
        <v>73.978173724654653</v>
      </c>
      <c r="AG27" s="9">
        <f t="shared" si="16"/>
        <v>75.827628067771016</v>
      </c>
      <c r="AH27" s="9">
        <f t="shared" si="16"/>
        <v>77.72331876946528</v>
      </c>
    </row>
    <row r="28" spans="1:34" x14ac:dyDescent="0.25">
      <c r="A28" t="s">
        <v>13</v>
      </c>
      <c r="C28" s="8">
        <v>32</v>
      </c>
      <c r="D28" s="8">
        <v>29</v>
      </c>
      <c r="E28" s="8">
        <v>30</v>
      </c>
      <c r="F28" s="8">
        <v>30</v>
      </c>
      <c r="G28" s="8">
        <v>20</v>
      </c>
      <c r="H28" s="8">
        <v>22</v>
      </c>
      <c r="I28" s="100">
        <v>22</v>
      </c>
      <c r="J28" s="100">
        <v>19</v>
      </c>
      <c r="K28" s="100">
        <v>22</v>
      </c>
      <c r="L28" s="100">
        <v>28</v>
      </c>
      <c r="M28" s="100">
        <v>32.895189999999999</v>
      </c>
      <c r="N28" s="92">
        <v>44.509610000000002</v>
      </c>
      <c r="O28" s="40">
        <v>41.692999999999998</v>
      </c>
      <c r="P28" s="9">
        <f t="shared" ref="P28:AC29" si="17">+O28*(1+P$9)</f>
        <v>42.735324999999996</v>
      </c>
      <c r="Q28" s="9">
        <f t="shared" si="17"/>
        <v>43.803708124999993</v>
      </c>
      <c r="R28" s="9">
        <f t="shared" si="17"/>
        <v>44.89880082812499</v>
      </c>
      <c r="S28" s="9">
        <f t="shared" si="17"/>
        <v>46.021270848828109</v>
      </c>
      <c r="T28" s="9">
        <f t="shared" si="17"/>
        <v>47.171802620048808</v>
      </c>
      <c r="U28" s="9">
        <f t="shared" si="17"/>
        <v>48.351097685550023</v>
      </c>
      <c r="V28" s="9">
        <f t="shared" si="17"/>
        <v>49.55987512768877</v>
      </c>
      <c r="W28" s="9">
        <f t="shared" si="17"/>
        <v>50.798872005880988</v>
      </c>
      <c r="X28" s="9">
        <f t="shared" si="17"/>
        <v>52.068843806028006</v>
      </c>
      <c r="Y28" s="9">
        <f t="shared" si="17"/>
        <v>53.370564901178703</v>
      </c>
      <c r="Z28" s="9">
        <f t="shared" si="17"/>
        <v>54.704829023708164</v>
      </c>
      <c r="AA28" s="9">
        <f t="shared" si="17"/>
        <v>56.072449749300866</v>
      </c>
      <c r="AB28" s="9">
        <f t="shared" si="16"/>
        <v>57.474260993033383</v>
      </c>
      <c r="AC28" s="9">
        <f t="shared" si="16"/>
        <v>58.911117517859211</v>
      </c>
      <c r="AD28" s="9">
        <f t="shared" si="16"/>
        <v>60.383895455805686</v>
      </c>
      <c r="AE28" s="9">
        <f t="shared" si="16"/>
        <v>61.893492842200821</v>
      </c>
      <c r="AF28" s="9">
        <f t="shared" si="16"/>
        <v>63.440830163255839</v>
      </c>
      <c r="AG28" s="9">
        <f t="shared" si="16"/>
        <v>65.026850917337228</v>
      </c>
      <c r="AH28" s="9">
        <f t="shared" si="16"/>
        <v>66.652522190270659</v>
      </c>
    </row>
    <row r="29" spans="1:34" x14ac:dyDescent="0.25">
      <c r="A29" t="s">
        <v>14</v>
      </c>
      <c r="C29" s="8">
        <v>42</v>
      </c>
      <c r="D29" s="8">
        <v>46</v>
      </c>
      <c r="E29" s="8">
        <v>45</v>
      </c>
      <c r="F29" s="8">
        <v>50</v>
      </c>
      <c r="G29" s="8">
        <v>42</v>
      </c>
      <c r="H29" s="8">
        <v>39</v>
      </c>
      <c r="I29" s="100">
        <v>31</v>
      </c>
      <c r="J29" s="100">
        <v>31</v>
      </c>
      <c r="K29" s="100">
        <v>33</v>
      </c>
      <c r="L29" s="100">
        <v>33</v>
      </c>
      <c r="M29" s="100">
        <v>52.671199999999999</v>
      </c>
      <c r="N29" s="92">
        <v>47.034960000000005</v>
      </c>
      <c r="O29" s="40">
        <v>52.903999999999989</v>
      </c>
      <c r="P29" s="9">
        <f t="shared" si="17"/>
        <v>54.226599999999983</v>
      </c>
      <c r="Q29" s="9">
        <f t="shared" si="17"/>
        <v>55.582264999999978</v>
      </c>
      <c r="R29" s="9">
        <f t="shared" si="17"/>
        <v>56.971821624999976</v>
      </c>
      <c r="S29" s="9">
        <f t="shared" si="17"/>
        <v>58.396117165624972</v>
      </c>
      <c r="T29" s="9">
        <f t="shared" si="17"/>
        <v>59.85602009476559</v>
      </c>
      <c r="U29" s="9">
        <f t="shared" si="17"/>
        <v>61.352420597134724</v>
      </c>
      <c r="V29" s="9">
        <f t="shared" si="17"/>
        <v>62.886231112063086</v>
      </c>
      <c r="W29" s="9">
        <f t="shared" si="17"/>
        <v>64.458386889864656</v>
      </c>
      <c r="X29" s="9">
        <f t="shared" si="17"/>
        <v>66.069846562111266</v>
      </c>
      <c r="Y29" s="9">
        <f t="shared" si="17"/>
        <v>67.721592726164047</v>
      </c>
      <c r="Z29" s="9">
        <f t="shared" si="17"/>
        <v>69.414632544318138</v>
      </c>
      <c r="AA29" s="9">
        <f t="shared" si="17"/>
        <v>71.14999835792608</v>
      </c>
      <c r="AB29" s="9">
        <f t="shared" si="17"/>
        <v>72.92874831687422</v>
      </c>
      <c r="AC29" s="9">
        <f t="shared" si="17"/>
        <v>74.751967024796073</v>
      </c>
      <c r="AD29" s="9">
        <f t="shared" si="16"/>
        <v>76.620766200415972</v>
      </c>
      <c r="AE29" s="9">
        <f t="shared" si="16"/>
        <v>78.536285355426358</v>
      </c>
      <c r="AF29" s="9">
        <f t="shared" si="16"/>
        <v>80.499692489312011</v>
      </c>
      <c r="AG29" s="9">
        <f t="shared" si="16"/>
        <v>82.512184801544805</v>
      </c>
      <c r="AH29" s="9">
        <f t="shared" si="16"/>
        <v>84.574989421583425</v>
      </c>
    </row>
    <row r="30" spans="1:34" s="6" customFormat="1" x14ac:dyDescent="0.25">
      <c r="A30" s="6" t="s">
        <v>45</v>
      </c>
      <c r="C30" s="12">
        <f t="shared" ref="C30:X30" si="18">SUM(C22:C29)</f>
        <v>1357</v>
      </c>
      <c r="D30" s="12">
        <f t="shared" si="18"/>
        <v>1254</v>
      </c>
      <c r="E30" s="12">
        <f t="shared" si="18"/>
        <v>1279</v>
      </c>
      <c r="F30" s="12">
        <f t="shared" si="18"/>
        <v>1310</v>
      </c>
      <c r="G30" s="12">
        <f t="shared" si="18"/>
        <v>1359</v>
      </c>
      <c r="H30" s="12">
        <f t="shared" si="18"/>
        <v>1349</v>
      </c>
      <c r="I30" s="12">
        <f t="shared" si="18"/>
        <v>1421</v>
      </c>
      <c r="J30" s="12">
        <f t="shared" si="18"/>
        <v>1366</v>
      </c>
      <c r="K30" s="12">
        <f t="shared" si="18"/>
        <v>1347</v>
      </c>
      <c r="L30" s="12">
        <f t="shared" si="18"/>
        <v>1386</v>
      </c>
      <c r="M30" s="12">
        <f t="shared" si="18"/>
        <v>1503.1048999999998</v>
      </c>
      <c r="N30" s="77">
        <f t="shared" si="18"/>
        <v>1317.17013</v>
      </c>
      <c r="O30" s="31">
        <f t="shared" si="18"/>
        <v>1478.1263115781917</v>
      </c>
      <c r="P30" s="12">
        <f t="shared" si="18"/>
        <v>1515.0794693676462</v>
      </c>
      <c r="Q30" s="12">
        <f t="shared" si="18"/>
        <v>1552.9564561018371</v>
      </c>
      <c r="R30" s="12">
        <f t="shared" si="18"/>
        <v>1591.7803675043831</v>
      </c>
      <c r="S30" s="12">
        <f t="shared" si="18"/>
        <v>1631.5748766919926</v>
      </c>
      <c r="T30" s="12">
        <f t="shared" si="18"/>
        <v>1672.3642486092926</v>
      </c>
      <c r="U30" s="12">
        <f t="shared" si="18"/>
        <v>1714.1733548245245</v>
      </c>
      <c r="V30" s="12">
        <f t="shared" si="18"/>
        <v>1757.0276886951376</v>
      </c>
      <c r="W30" s="12">
        <f t="shared" si="18"/>
        <v>1800.9533809125157</v>
      </c>
      <c r="X30" s="12">
        <f t="shared" si="18"/>
        <v>1845.9772154353286</v>
      </c>
      <c r="Y30" s="12">
        <f t="shared" ref="Y30:AH30" si="19">SUM(Y22:Y29)</f>
        <v>1892.1266458212115</v>
      </c>
      <c r="Z30" s="12">
        <f t="shared" si="19"/>
        <v>1939.4298119667417</v>
      </c>
      <c r="AA30" s="12">
        <f t="shared" si="19"/>
        <v>1987.9155572659097</v>
      </c>
      <c r="AB30" s="12">
        <f t="shared" si="19"/>
        <v>2037.6134461975573</v>
      </c>
      <c r="AC30" s="12">
        <f t="shared" si="19"/>
        <v>2088.553782352496</v>
      </c>
      <c r="AD30" s="12">
        <f t="shared" si="19"/>
        <v>2140.7676269113081</v>
      </c>
      <c r="AE30" s="12">
        <f t="shared" si="19"/>
        <v>2194.2868175840908</v>
      </c>
      <c r="AF30" s="12">
        <f t="shared" si="19"/>
        <v>2249.1439880236926</v>
      </c>
      <c r="AG30" s="12">
        <f t="shared" si="19"/>
        <v>2305.3725877242846</v>
      </c>
      <c r="AH30" s="12">
        <f t="shared" si="19"/>
        <v>2363.0069024173918</v>
      </c>
    </row>
    <row r="31" spans="1:34" x14ac:dyDescent="0.25">
      <c r="A31" s="56" t="s">
        <v>53</v>
      </c>
      <c r="D31" s="55">
        <f>+D30/C30-1</f>
        <v>-7.5902726602800286E-2</v>
      </c>
      <c r="E31" s="55">
        <f t="shared" ref="E31:AH31" si="20">+E30/D30-1</f>
        <v>1.9936204146730363E-2</v>
      </c>
      <c r="F31" s="55">
        <f t="shared" si="20"/>
        <v>2.4237685691946842E-2</v>
      </c>
      <c r="G31" s="55">
        <f t="shared" si="20"/>
        <v>3.7404580152671674E-2</v>
      </c>
      <c r="H31" s="55">
        <f t="shared" si="20"/>
        <v>-7.3583517292126199E-3</v>
      </c>
      <c r="I31" s="55">
        <f t="shared" si="20"/>
        <v>5.3372868791697448E-2</v>
      </c>
      <c r="J31" s="55">
        <f t="shared" si="20"/>
        <v>-3.8705137227304731E-2</v>
      </c>
      <c r="K31" s="55">
        <f t="shared" si="20"/>
        <v>-1.3909224011713017E-2</v>
      </c>
      <c r="L31" s="55">
        <f t="shared" si="20"/>
        <v>2.8953229398663627E-2</v>
      </c>
      <c r="M31" s="55">
        <f t="shared" si="20"/>
        <v>8.4491269841269645E-2</v>
      </c>
      <c r="N31" s="75">
        <f t="shared" si="20"/>
        <v>-0.12370046162446802</v>
      </c>
      <c r="O31" s="57">
        <f t="shared" si="20"/>
        <v>0.12219847528594641</v>
      </c>
      <c r="P31" s="55">
        <f t="shared" si="20"/>
        <v>2.4999999999999911E-2</v>
      </c>
      <c r="Q31" s="55">
        <f t="shared" si="20"/>
        <v>2.4999999999999911E-2</v>
      </c>
      <c r="R31" s="55">
        <f t="shared" si="20"/>
        <v>2.4999999999999911E-2</v>
      </c>
      <c r="S31" s="55">
        <f t="shared" si="20"/>
        <v>2.4999999999999911E-2</v>
      </c>
      <c r="T31" s="55">
        <f t="shared" si="20"/>
        <v>2.5000000000000133E-2</v>
      </c>
      <c r="U31" s="55">
        <f t="shared" si="20"/>
        <v>2.4999999999999689E-2</v>
      </c>
      <c r="V31" s="55">
        <f t="shared" si="20"/>
        <v>2.4999999999999911E-2</v>
      </c>
      <c r="W31" s="55">
        <f t="shared" si="20"/>
        <v>2.4999999999999911E-2</v>
      </c>
      <c r="X31" s="55">
        <f t="shared" si="20"/>
        <v>2.4999999999999911E-2</v>
      </c>
      <c r="Y31" s="55">
        <f t="shared" si="20"/>
        <v>2.4999999999999911E-2</v>
      </c>
      <c r="Z31" s="55">
        <f t="shared" si="20"/>
        <v>2.4999999999999911E-2</v>
      </c>
      <c r="AA31" s="55">
        <f t="shared" si="20"/>
        <v>2.4999999999999689E-2</v>
      </c>
      <c r="AB31" s="55">
        <f t="shared" si="20"/>
        <v>2.4999999999999911E-2</v>
      </c>
      <c r="AC31" s="55">
        <f t="shared" si="20"/>
        <v>2.4999999999999911E-2</v>
      </c>
      <c r="AD31" s="55">
        <f t="shared" si="20"/>
        <v>2.4999999999999911E-2</v>
      </c>
      <c r="AE31" s="55">
        <f t="shared" si="20"/>
        <v>2.5000000000000133E-2</v>
      </c>
      <c r="AF31" s="55">
        <f t="shared" si="20"/>
        <v>2.4999999999999689E-2</v>
      </c>
      <c r="AG31" s="55">
        <f t="shared" si="20"/>
        <v>2.4999999999999911E-2</v>
      </c>
      <c r="AH31" s="55">
        <f t="shared" si="20"/>
        <v>2.5000000000000133E-2</v>
      </c>
    </row>
    <row r="32" spans="1:34" x14ac:dyDescent="0.25">
      <c r="A32" s="42" t="s">
        <v>47</v>
      </c>
      <c r="C32" s="8">
        <v>21</v>
      </c>
      <c r="D32" s="8">
        <v>0</v>
      </c>
      <c r="E32" s="8">
        <v>0</v>
      </c>
      <c r="F32" s="2">
        <v>0</v>
      </c>
      <c r="N32" s="65"/>
      <c r="O32" s="21"/>
    </row>
    <row r="33" spans="1:34" x14ac:dyDescent="0.25">
      <c r="A33" s="56"/>
      <c r="D33" s="55"/>
      <c r="E33" s="55"/>
      <c r="F33" s="55"/>
      <c r="G33" s="55"/>
      <c r="H33" s="55"/>
      <c r="I33" s="55"/>
      <c r="J33" s="55"/>
      <c r="K33" s="55"/>
      <c r="L33" s="55"/>
      <c r="M33" s="55"/>
      <c r="N33" s="75"/>
      <c r="O33" s="57"/>
      <c r="P33" s="55"/>
      <c r="Q33" s="55"/>
      <c r="R33" s="55"/>
      <c r="S33" s="55"/>
      <c r="T33" s="55"/>
      <c r="U33" s="55"/>
      <c r="V33" s="55"/>
      <c r="W33" s="55"/>
      <c r="X33" s="55"/>
      <c r="Y33" s="55"/>
      <c r="Z33" s="55"/>
      <c r="AA33" s="55"/>
      <c r="AB33" s="55"/>
      <c r="AC33" s="55"/>
      <c r="AD33" s="55"/>
      <c r="AE33" s="55"/>
      <c r="AF33" s="55"/>
      <c r="AG33" s="55"/>
      <c r="AH33" s="55"/>
    </row>
    <row r="34" spans="1:34" x14ac:dyDescent="0.25">
      <c r="A34" s="81" t="s">
        <v>59</v>
      </c>
      <c r="B34" s="82"/>
      <c r="C34" s="83">
        <f t="shared" ref="C34:AH34" si="21">+C19-C30+C32</f>
        <v>-609</v>
      </c>
      <c r="D34" s="83">
        <f t="shared" si="21"/>
        <v>-399</v>
      </c>
      <c r="E34" s="83">
        <f t="shared" si="21"/>
        <v>-285</v>
      </c>
      <c r="F34" s="83">
        <f t="shared" si="21"/>
        <v>-256</v>
      </c>
      <c r="G34" s="83">
        <f t="shared" si="21"/>
        <v>-234</v>
      </c>
      <c r="H34" s="83">
        <f t="shared" si="21"/>
        <v>-223</v>
      </c>
      <c r="I34" s="83">
        <f t="shared" si="21"/>
        <v>-305</v>
      </c>
      <c r="J34" s="83">
        <f t="shared" si="21"/>
        <v>-202</v>
      </c>
      <c r="K34" s="83">
        <f t="shared" si="21"/>
        <v>-167</v>
      </c>
      <c r="L34" s="83">
        <f t="shared" si="21"/>
        <v>-74</v>
      </c>
      <c r="M34" s="83">
        <f t="shared" si="21"/>
        <v>-62.567700000000286</v>
      </c>
      <c r="N34" s="84">
        <f t="shared" si="21"/>
        <v>293.82823700000017</v>
      </c>
      <c r="O34" s="85">
        <f t="shared" si="21"/>
        <v>264.62676457929206</v>
      </c>
      <c r="P34" s="83">
        <f t="shared" si="21"/>
        <v>404.05542194377472</v>
      </c>
      <c r="Q34" s="83">
        <f t="shared" si="21"/>
        <v>543.6140285673689</v>
      </c>
      <c r="R34" s="83">
        <f t="shared" si="21"/>
        <v>641.53158398280289</v>
      </c>
      <c r="S34" s="83">
        <f t="shared" si="21"/>
        <v>747.49641721981084</v>
      </c>
      <c r="T34" s="83">
        <f t="shared" si="21"/>
        <v>862.05882610579692</v>
      </c>
      <c r="U34" s="83">
        <f t="shared" si="21"/>
        <v>985.80377915469785</v>
      </c>
      <c r="V34" s="83">
        <f t="shared" si="21"/>
        <v>1119.3530008685232</v>
      </c>
      <c r="W34" s="83">
        <f t="shared" si="21"/>
        <v>1263.3671787417763</v>
      </c>
      <c r="X34" s="83">
        <f t="shared" si="21"/>
        <v>1418.5482989220145</v>
      </c>
      <c r="Y34" s="83">
        <f t="shared" si="21"/>
        <v>1585.6421178707985</v>
      </c>
      <c r="Z34" s="83">
        <f t="shared" si="21"/>
        <v>1765.4407777819654</v>
      </c>
      <c r="AA34" s="83">
        <f t="shared" si="21"/>
        <v>1921.4064246583062</v>
      </c>
      <c r="AB34" s="83">
        <f t="shared" si="21"/>
        <v>2039.6816982960324</v>
      </c>
      <c r="AC34" s="83">
        <f t="shared" si="21"/>
        <v>2118.2016674007396</v>
      </c>
      <c r="AD34" s="83">
        <f t="shared" si="21"/>
        <v>2171.156709085757</v>
      </c>
      <c r="AE34" s="83">
        <f t="shared" si="21"/>
        <v>2225.4356268129009</v>
      </c>
      <c r="AF34" s="83">
        <f t="shared" si="21"/>
        <v>2281.0715174832235</v>
      </c>
      <c r="AG34" s="83">
        <f t="shared" si="21"/>
        <v>2338.0983054203039</v>
      </c>
      <c r="AH34" s="83">
        <f t="shared" si="21"/>
        <v>2396.5507630558113</v>
      </c>
    </row>
    <row r="35" spans="1:34" x14ac:dyDescent="0.25">
      <c r="A35" s="56"/>
      <c r="D35" s="55"/>
      <c r="E35" s="55"/>
      <c r="F35" s="55"/>
      <c r="G35" s="55"/>
      <c r="H35" s="55"/>
      <c r="I35" s="55"/>
      <c r="J35" s="55"/>
      <c r="K35" s="55"/>
      <c r="L35" s="55"/>
      <c r="M35" s="55"/>
      <c r="N35" s="133"/>
      <c r="O35" s="57"/>
      <c r="P35" s="55"/>
      <c r="Q35" s="55"/>
      <c r="R35" s="55"/>
      <c r="S35" s="55"/>
      <c r="T35" s="55"/>
      <c r="U35" s="55"/>
      <c r="V35" s="55"/>
      <c r="W35" s="55"/>
      <c r="X35" s="55"/>
      <c r="Y35" s="55"/>
      <c r="Z35" s="55"/>
      <c r="AA35" s="55"/>
      <c r="AB35" s="55"/>
      <c r="AC35" s="55"/>
      <c r="AD35" s="55"/>
      <c r="AE35" s="55"/>
      <c r="AF35" s="55"/>
      <c r="AG35" s="55"/>
      <c r="AH35" s="55"/>
    </row>
    <row r="36" spans="1:34" x14ac:dyDescent="0.25">
      <c r="A36" t="s">
        <v>23</v>
      </c>
      <c r="C36" s="8">
        <v>-5</v>
      </c>
      <c r="D36" s="8">
        <v>-3</v>
      </c>
      <c r="E36" s="8">
        <v>-35</v>
      </c>
      <c r="F36" s="8">
        <v>-5</v>
      </c>
      <c r="G36" s="63">
        <v>-4</v>
      </c>
      <c r="H36" s="63">
        <v>-16</v>
      </c>
      <c r="I36" s="63">
        <v>-17</v>
      </c>
      <c r="J36" s="116">
        <v>-3</v>
      </c>
      <c r="K36" s="63">
        <v>0</v>
      </c>
      <c r="L36" s="63">
        <v>-27</v>
      </c>
      <c r="M36" s="63">
        <v>0</v>
      </c>
      <c r="N36" s="76">
        <v>0</v>
      </c>
      <c r="O36" s="41">
        <v>-15</v>
      </c>
      <c r="P36" s="15">
        <f>+P34*-0.25</f>
        <v>-101.01385548594368</v>
      </c>
      <c r="Q36" s="15">
        <f t="shared" ref="Q36:AH36" si="22">+Q34*-0.25</f>
        <v>-135.90350714184223</v>
      </c>
      <c r="R36" s="15">
        <f t="shared" si="22"/>
        <v>-160.38289599570072</v>
      </c>
      <c r="S36" s="15">
        <f t="shared" si="22"/>
        <v>-186.87410430495271</v>
      </c>
      <c r="T36" s="15">
        <f t="shared" si="22"/>
        <v>-215.51470652644923</v>
      </c>
      <c r="U36" s="15">
        <f t="shared" si="22"/>
        <v>-246.45094478867446</v>
      </c>
      <c r="V36" s="15">
        <f t="shared" si="22"/>
        <v>-279.83825021713079</v>
      </c>
      <c r="W36" s="15">
        <f t="shared" si="22"/>
        <v>-315.84179468544409</v>
      </c>
      <c r="X36" s="15">
        <f t="shared" si="22"/>
        <v>-354.63707473050363</v>
      </c>
      <c r="Y36" s="15">
        <f t="shared" si="22"/>
        <v>-396.41052946769963</v>
      </c>
      <c r="Z36" s="15">
        <f t="shared" si="22"/>
        <v>-441.36019444549135</v>
      </c>
      <c r="AA36" s="15">
        <f t="shared" si="22"/>
        <v>-480.35160616457654</v>
      </c>
      <c r="AB36" s="15">
        <f t="shared" si="22"/>
        <v>-509.92042457400811</v>
      </c>
      <c r="AC36" s="15">
        <f t="shared" si="22"/>
        <v>-529.55041685018489</v>
      </c>
      <c r="AD36" s="15">
        <f>+AD34*-0.25</f>
        <v>-542.78917727143926</v>
      </c>
      <c r="AE36" s="15">
        <f t="shared" si="22"/>
        <v>-556.35890670322522</v>
      </c>
      <c r="AF36" s="15">
        <f t="shared" si="22"/>
        <v>-570.26787937080587</v>
      </c>
      <c r="AG36" s="15">
        <f t="shared" si="22"/>
        <v>-584.52457635507596</v>
      </c>
      <c r="AH36" s="15">
        <f t="shared" si="22"/>
        <v>-599.13769076395283</v>
      </c>
    </row>
    <row r="37" spans="1:34" x14ac:dyDescent="0.25">
      <c r="A37" t="s">
        <v>42</v>
      </c>
      <c r="C37" s="8">
        <f>10+15+2+13-11</f>
        <v>29</v>
      </c>
      <c r="D37" s="10">
        <v>26</v>
      </c>
      <c r="E37" s="10">
        <v>26</v>
      </c>
      <c r="F37" s="112">
        <v>47</v>
      </c>
      <c r="G37" s="112">
        <v>36</v>
      </c>
      <c r="H37" s="113">
        <v>-44</v>
      </c>
      <c r="I37" s="54">
        <v>-59</v>
      </c>
      <c r="J37" s="102">
        <v>8</v>
      </c>
      <c r="K37" s="43">
        <v>-56</v>
      </c>
      <c r="L37" s="43">
        <v>50</v>
      </c>
      <c r="M37" s="63">
        <v>0</v>
      </c>
      <c r="N37" s="76">
        <v>45</v>
      </c>
      <c r="O37" s="21">
        <v>14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</row>
    <row r="38" spans="1:34" x14ac:dyDescent="0.25">
      <c r="C38" s="8"/>
      <c r="D38" s="10"/>
      <c r="E38" s="10"/>
      <c r="F38" s="10"/>
      <c r="G38" s="10"/>
      <c r="H38" s="11"/>
      <c r="N38" s="65"/>
      <c r="O38" s="21"/>
    </row>
    <row r="39" spans="1:34" x14ac:dyDescent="0.25">
      <c r="A39" s="81" t="s">
        <v>60</v>
      </c>
      <c r="B39" s="82"/>
      <c r="C39" s="83">
        <f t="shared" ref="C39:AC39" si="23">SUM(C34:C37)</f>
        <v>-585</v>
      </c>
      <c r="D39" s="83">
        <f t="shared" si="23"/>
        <v>-376</v>
      </c>
      <c r="E39" s="83">
        <f t="shared" si="23"/>
        <v>-294</v>
      </c>
      <c r="F39" s="83">
        <f t="shared" si="23"/>
        <v>-214</v>
      </c>
      <c r="G39" s="83">
        <f t="shared" si="23"/>
        <v>-202</v>
      </c>
      <c r="H39" s="83">
        <f t="shared" si="23"/>
        <v>-283</v>
      </c>
      <c r="I39" s="83">
        <f t="shared" si="23"/>
        <v>-381</v>
      </c>
      <c r="J39" s="83">
        <f t="shared" si="23"/>
        <v>-197</v>
      </c>
      <c r="K39" s="83">
        <f t="shared" si="23"/>
        <v>-223</v>
      </c>
      <c r="L39" s="83">
        <f t="shared" si="23"/>
        <v>-51</v>
      </c>
      <c r="M39" s="83">
        <f t="shared" si="23"/>
        <v>-62.567700000000286</v>
      </c>
      <c r="N39" s="84">
        <f t="shared" si="23"/>
        <v>338.82823700000017</v>
      </c>
      <c r="O39" s="85">
        <f t="shared" si="23"/>
        <v>263.62676457929206</v>
      </c>
      <c r="P39" s="83">
        <f t="shared" si="23"/>
        <v>303.04156645783104</v>
      </c>
      <c r="Q39" s="83">
        <f t="shared" si="23"/>
        <v>407.71052142552668</v>
      </c>
      <c r="R39" s="83">
        <f t="shared" si="23"/>
        <v>481.14868798710216</v>
      </c>
      <c r="S39" s="83">
        <f t="shared" si="23"/>
        <v>560.62231291485818</v>
      </c>
      <c r="T39" s="83">
        <f t="shared" si="23"/>
        <v>646.54411957934769</v>
      </c>
      <c r="U39" s="83">
        <f t="shared" si="23"/>
        <v>739.35283436602344</v>
      </c>
      <c r="V39" s="83">
        <f t="shared" si="23"/>
        <v>839.51475065139243</v>
      </c>
      <c r="W39" s="83">
        <f t="shared" si="23"/>
        <v>947.52538405633231</v>
      </c>
      <c r="X39" s="83">
        <f t="shared" si="23"/>
        <v>1063.9112241915109</v>
      </c>
      <c r="Y39" s="83">
        <f t="shared" si="23"/>
        <v>1189.2315884030988</v>
      </c>
      <c r="Z39" s="83">
        <f t="shared" si="23"/>
        <v>1324.0805833364741</v>
      </c>
      <c r="AA39" s="83">
        <f t="shared" si="23"/>
        <v>1441.0548184937297</v>
      </c>
      <c r="AB39" s="83">
        <f t="shared" si="23"/>
        <v>1529.7612737220243</v>
      </c>
      <c r="AC39" s="83">
        <f t="shared" si="23"/>
        <v>1588.6512505505548</v>
      </c>
      <c r="AD39" s="83">
        <f t="shared" ref="AD39:AF39" si="24">SUM(AD34:AD37)</f>
        <v>1628.3675318143178</v>
      </c>
      <c r="AE39" s="83">
        <f t="shared" si="24"/>
        <v>1669.0767201096755</v>
      </c>
      <c r="AF39" s="83">
        <f t="shared" si="24"/>
        <v>1710.8036381124175</v>
      </c>
      <c r="AG39" s="83">
        <f>SUM(AG34:AG37)</f>
        <v>1753.5737290652278</v>
      </c>
      <c r="AH39" s="83">
        <f t="shared" ref="AH39" si="25">SUM(AH34:AH37)</f>
        <v>1797.4130722918585</v>
      </c>
    </row>
    <row r="40" spans="1:34" x14ac:dyDescent="0.25">
      <c r="A40" s="56"/>
      <c r="D40" s="55"/>
      <c r="E40" s="55"/>
      <c r="F40" s="55"/>
      <c r="G40" s="55"/>
      <c r="H40" s="55"/>
      <c r="I40" s="55"/>
      <c r="J40" s="55"/>
      <c r="K40" s="55"/>
      <c r="L40" s="55"/>
      <c r="M40" s="55"/>
      <c r="N40" s="75"/>
      <c r="O40" s="57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/>
      <c r="AB40" s="55"/>
      <c r="AC40" s="55"/>
      <c r="AD40" s="55"/>
      <c r="AE40" s="55"/>
      <c r="AF40" s="55"/>
      <c r="AG40" s="55"/>
      <c r="AH40" s="55"/>
    </row>
    <row r="41" spans="1:34" x14ac:dyDescent="0.25">
      <c r="A41" t="s">
        <v>72</v>
      </c>
      <c r="C41" s="86">
        <v>178</v>
      </c>
      <c r="D41" s="86">
        <v>207</v>
      </c>
      <c r="E41" s="86">
        <v>229</v>
      </c>
      <c r="F41" s="86">
        <v>252</v>
      </c>
      <c r="G41" s="86">
        <v>207</v>
      </c>
      <c r="H41" s="86">
        <v>221</v>
      </c>
      <c r="I41" s="86">
        <v>238</v>
      </c>
      <c r="J41" s="117">
        <v>257</v>
      </c>
      <c r="K41" s="117">
        <v>271</v>
      </c>
      <c r="L41" s="117">
        <v>285</v>
      </c>
      <c r="M41" s="117">
        <v>295.43071000000003</v>
      </c>
      <c r="N41" s="93">
        <v>306</v>
      </c>
      <c r="O41" s="88">
        <f>MAX((N45+(O30-O19)/2)*O11,0)</f>
        <v>311.89226340058656</v>
      </c>
      <c r="P41" s="89">
        <f t="shared" ref="P41:AF41" si="26">MAX((O45+(P30-P19)/2)*P11,0)</f>
        <v>313.91304627893271</v>
      </c>
      <c r="Q41" s="89">
        <f t="shared" si="26"/>
        <v>314.04739292536465</v>
      </c>
      <c r="R41" s="89">
        <f t="shared" si="26"/>
        <v>312.91277291993816</v>
      </c>
      <c r="S41" s="89">
        <f t="shared" si="26"/>
        <v>309.66050949973481</v>
      </c>
      <c r="T41" s="89">
        <f t="shared" si="26"/>
        <v>302.26283691407889</v>
      </c>
      <c r="U41" s="89">
        <f t="shared" si="26"/>
        <v>290.57552362674176</v>
      </c>
      <c r="V41" s="89">
        <f t="shared" si="26"/>
        <v>274.44905329176123</v>
      </c>
      <c r="W41" s="89">
        <f t="shared" si="26"/>
        <v>253.72841713330308</v>
      </c>
      <c r="X41" s="89">
        <f t="shared" si="26"/>
        <v>228.25289748720658</v>
      </c>
      <c r="Y41" s="89">
        <f t="shared" si="26"/>
        <v>201.75584209762303</v>
      </c>
      <c r="Z41" s="89">
        <f t="shared" si="26"/>
        <v>174.19117874223934</v>
      </c>
      <c r="AA41" s="89">
        <f t="shared" si="26"/>
        <v>146.11795028962158</v>
      </c>
      <c r="AB41" s="89">
        <f t="shared" si="26"/>
        <v>117.74481047742121</v>
      </c>
      <c r="AC41" s="89">
        <f t="shared" si="26"/>
        <v>89.095567319985918</v>
      </c>
      <c r="AD41" s="89">
        <f t="shared" si="26"/>
        <v>59.930653830503921</v>
      </c>
      <c r="AE41" s="89">
        <f t="shared" si="26"/>
        <v>29.796367666929211</v>
      </c>
      <c r="AF41" s="89">
        <f t="shared" si="26"/>
        <v>0</v>
      </c>
      <c r="AG41" s="89">
        <f>MAX((AF45+(AG30-AG19)/2)*AG11,0)</f>
        <v>0</v>
      </c>
      <c r="AH41" s="89">
        <f t="shared" ref="AH41" si="27">MAX((AG45+(AH30-AH19)/2)*AH11,0)</f>
        <v>0</v>
      </c>
    </row>
    <row r="42" spans="1:34" x14ac:dyDescent="0.25">
      <c r="A42" t="s">
        <v>78</v>
      </c>
      <c r="C42" s="86"/>
      <c r="D42" s="86"/>
      <c r="E42" s="86"/>
      <c r="F42" s="86"/>
      <c r="G42" s="86"/>
      <c r="H42" s="86"/>
      <c r="I42" s="86"/>
      <c r="J42" s="117"/>
      <c r="K42" s="117"/>
      <c r="L42" s="117"/>
      <c r="M42" s="117"/>
      <c r="N42" s="93">
        <v>-60</v>
      </c>
      <c r="O42" s="88">
        <f>-15*12</f>
        <v>-180</v>
      </c>
      <c r="P42" s="89">
        <f>-20*12</f>
        <v>-240</v>
      </c>
      <c r="Q42" s="89">
        <f>-25*12</f>
        <v>-300</v>
      </c>
      <c r="R42" s="89">
        <f>-30*12</f>
        <v>-360</v>
      </c>
      <c r="S42" s="89">
        <f>-40*12</f>
        <v>-480</v>
      </c>
      <c r="T42" s="89">
        <f>-50*12</f>
        <v>-600</v>
      </c>
      <c r="U42" s="89">
        <f>-60*12</f>
        <v>-720</v>
      </c>
      <c r="V42" s="89">
        <f>-70*12</f>
        <v>-840</v>
      </c>
      <c r="W42" s="89">
        <f>-80*12</f>
        <v>-960</v>
      </c>
      <c r="X42" s="89">
        <f>W42</f>
        <v>-960</v>
      </c>
      <c r="Y42" s="89">
        <f t="shared" ref="Y42:AF42" si="28">X42</f>
        <v>-960</v>
      </c>
      <c r="Z42" s="89">
        <f t="shared" si="28"/>
        <v>-960</v>
      </c>
      <c r="AA42" s="89">
        <f t="shared" si="28"/>
        <v>-960</v>
      </c>
      <c r="AB42" s="89">
        <f t="shared" si="28"/>
        <v>-960</v>
      </c>
      <c r="AC42" s="89">
        <f t="shared" si="28"/>
        <v>-960</v>
      </c>
      <c r="AD42" s="89">
        <f>AC42</f>
        <v>-960</v>
      </c>
      <c r="AE42" s="89">
        <f t="shared" si="28"/>
        <v>-960</v>
      </c>
      <c r="AF42" s="89">
        <f t="shared" si="28"/>
        <v>-960</v>
      </c>
      <c r="AG42" s="89">
        <f t="shared" ref="AG42" si="29">AF42</f>
        <v>-960</v>
      </c>
      <c r="AH42" s="89">
        <f t="shared" ref="AH42" si="30">AG42</f>
        <v>-960</v>
      </c>
    </row>
    <row r="43" spans="1:34" s="6" customFormat="1" x14ac:dyDescent="0.25">
      <c r="A43" s="6" t="s">
        <v>61</v>
      </c>
      <c r="C43" s="12">
        <f t="shared" ref="C43:M43" si="31">+C39-C41</f>
        <v>-763</v>
      </c>
      <c r="D43" s="12">
        <f t="shared" si="31"/>
        <v>-583</v>
      </c>
      <c r="E43" s="12">
        <f t="shared" si="31"/>
        <v>-523</v>
      </c>
      <c r="F43" s="12">
        <f t="shared" si="31"/>
        <v>-466</v>
      </c>
      <c r="G43" s="12">
        <f t="shared" si="31"/>
        <v>-409</v>
      </c>
      <c r="H43" s="12">
        <f t="shared" si="31"/>
        <v>-504</v>
      </c>
      <c r="I43" s="12">
        <f t="shared" si="31"/>
        <v>-619</v>
      </c>
      <c r="J43" s="12">
        <f t="shared" si="31"/>
        <v>-454</v>
      </c>
      <c r="K43" s="12">
        <f t="shared" si="31"/>
        <v>-494</v>
      </c>
      <c r="L43" s="12">
        <f t="shared" si="31"/>
        <v>-336</v>
      </c>
      <c r="M43" s="12">
        <f t="shared" si="31"/>
        <v>-357.99841000000032</v>
      </c>
      <c r="N43" s="77">
        <f>+N39-N47</f>
        <v>92.828237000000172</v>
      </c>
      <c r="O43" s="31">
        <f>+O39-O47</f>
        <v>131.73450117870539</v>
      </c>
      <c r="P43" s="12">
        <f>+P39-P47</f>
        <v>229.12852017889844</v>
      </c>
      <c r="Q43" s="12">
        <f t="shared" ref="Q43:AH43" si="32">+Q39-Q47</f>
        <v>393.66312850016271</v>
      </c>
      <c r="R43" s="12">
        <f t="shared" si="32"/>
        <v>528.23591506716321</v>
      </c>
      <c r="S43" s="12">
        <f t="shared" si="32"/>
        <v>730.96180341512422</v>
      </c>
      <c r="T43" s="12">
        <f t="shared" si="32"/>
        <v>944.28128266526926</v>
      </c>
      <c r="U43" s="12">
        <f t="shared" si="32"/>
        <v>1168.777310739282</v>
      </c>
      <c r="V43" s="12">
        <f t="shared" si="32"/>
        <v>1405.0656973596317</v>
      </c>
      <c r="W43" s="12">
        <f t="shared" si="32"/>
        <v>1653.7969669230292</v>
      </c>
      <c r="X43" s="12">
        <f t="shared" si="32"/>
        <v>1795.6583267043043</v>
      </c>
      <c r="Y43" s="12">
        <f t="shared" si="32"/>
        <v>1947.4757463054759</v>
      </c>
      <c r="Z43" s="12">
        <f t="shared" si="32"/>
        <v>2109.8894045942343</v>
      </c>
      <c r="AA43" s="12">
        <f t="shared" si="32"/>
        <v>2254.9368682041086</v>
      </c>
      <c r="AB43" s="12">
        <f t="shared" si="32"/>
        <v>2372.0164632446031</v>
      </c>
      <c r="AC43" s="12">
        <f t="shared" si="32"/>
        <v>2459.5556832305688</v>
      </c>
      <c r="AD43" s="12">
        <f t="shared" si="32"/>
        <v>2528.4368779838137</v>
      </c>
      <c r="AE43" s="12">
        <f t="shared" si="32"/>
        <v>2599.2803524427463</v>
      </c>
      <c r="AF43" s="12">
        <f t="shared" si="32"/>
        <v>2670.8036381124175</v>
      </c>
      <c r="AG43" s="12">
        <f t="shared" si="32"/>
        <v>1932.5737290652278</v>
      </c>
      <c r="AH43" s="12">
        <f t="shared" si="32"/>
        <v>1797.4130722918585</v>
      </c>
    </row>
    <row r="44" spans="1:34" x14ac:dyDescent="0.25"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65"/>
      <c r="O44" s="21"/>
    </row>
    <row r="45" spans="1:34" x14ac:dyDescent="0.25">
      <c r="A45" s="21" t="s">
        <v>26</v>
      </c>
      <c r="B45" s="21"/>
      <c r="C45" s="22">
        <v>4735</v>
      </c>
      <c r="D45" s="22">
        <v>5318</v>
      </c>
      <c r="E45" s="22">
        <f>5606+229</f>
        <v>5835</v>
      </c>
      <c r="F45" s="22">
        <v>6332</v>
      </c>
      <c r="G45" s="22">
        <v>6730</v>
      </c>
      <c r="H45" s="23">
        <v>7254</v>
      </c>
      <c r="I45" s="23">
        <f>7254+350+238</f>
        <v>7842</v>
      </c>
      <c r="J45" s="23">
        <v>8294</v>
      </c>
      <c r="K45" s="23">
        <v>8790</v>
      </c>
      <c r="L45" s="23">
        <f>8840+285</f>
        <v>9125</v>
      </c>
      <c r="M45" s="23">
        <f t="shared" ref="M45" si="33">MAX(0,+L45-M43)</f>
        <v>9482.9984100000001</v>
      </c>
      <c r="N45" s="78">
        <f>M45+N41+N42</f>
        <v>9728.9984100000001</v>
      </c>
      <c r="O45" s="23">
        <f t="shared" ref="O45:AF45" si="34">N45+O41+O42</f>
        <v>9860.8906734005868</v>
      </c>
      <c r="P45" s="23">
        <f t="shared" si="34"/>
        <v>9934.8037196795194</v>
      </c>
      <c r="Q45" s="23">
        <f t="shared" si="34"/>
        <v>9948.8511126048834</v>
      </c>
      <c r="R45" s="23">
        <f t="shared" si="34"/>
        <v>9901.7638855248224</v>
      </c>
      <c r="S45" s="23">
        <f t="shared" si="34"/>
        <v>9731.4243950245564</v>
      </c>
      <c r="T45" s="23">
        <f t="shared" si="34"/>
        <v>9433.6872319386348</v>
      </c>
      <c r="U45" s="23">
        <f t="shared" si="34"/>
        <v>9004.2627555653762</v>
      </c>
      <c r="V45" s="23">
        <f t="shared" si="34"/>
        <v>8438.7118088571369</v>
      </c>
      <c r="W45" s="23">
        <f t="shared" si="34"/>
        <v>7732.44022599044</v>
      </c>
      <c r="X45" s="23">
        <f t="shared" si="34"/>
        <v>7000.6931234776466</v>
      </c>
      <c r="Y45" s="23">
        <f t="shared" si="34"/>
        <v>6242.4489655752695</v>
      </c>
      <c r="Z45" s="23">
        <f t="shared" si="34"/>
        <v>5456.6401443175091</v>
      </c>
      <c r="AA45" s="23">
        <f t="shared" si="34"/>
        <v>4642.7580946071303</v>
      </c>
      <c r="AB45" s="23">
        <f t="shared" si="34"/>
        <v>3800.5029050845515</v>
      </c>
      <c r="AC45" s="23">
        <f t="shared" si="34"/>
        <v>2929.5984724045375</v>
      </c>
      <c r="AD45" s="23">
        <f t="shared" si="34"/>
        <v>2029.5291262350415</v>
      </c>
      <c r="AE45" s="23">
        <f t="shared" si="34"/>
        <v>1099.3254939019707</v>
      </c>
      <c r="AF45" s="23">
        <f t="shared" si="34"/>
        <v>139.32549390197073</v>
      </c>
      <c r="AG45" s="23">
        <f>AF45+AG41+AG42-AG48</f>
        <v>-39.674506098029269</v>
      </c>
      <c r="AH45" s="23">
        <f>AG45+AH41+AH42-AH48</f>
        <v>-39.674506098029269</v>
      </c>
    </row>
    <row r="46" spans="1:34" x14ac:dyDescent="0.25">
      <c r="A46" s="21" t="s">
        <v>27</v>
      </c>
      <c r="B46" s="21"/>
      <c r="C46" s="22">
        <v>4731</v>
      </c>
      <c r="D46" s="22">
        <v>4752</v>
      </c>
      <c r="E46" s="22">
        <v>4776</v>
      </c>
      <c r="F46" s="22">
        <v>5144</v>
      </c>
      <c r="G46" s="22">
        <v>5444</v>
      </c>
      <c r="H46" s="24">
        <v>6424</v>
      </c>
      <c r="I46" s="24">
        <v>6773</v>
      </c>
      <c r="J46" s="24">
        <v>7482</v>
      </c>
      <c r="K46" s="24">
        <v>7500</v>
      </c>
      <c r="L46" s="24">
        <f t="shared" ref="L46:AH46" si="35">IF(L45&gt;0,K46+L48,MAX(0,K46+L48-(L43-(K45-L45))))</f>
        <v>7500</v>
      </c>
      <c r="M46" s="24">
        <f t="shared" si="35"/>
        <v>7500</v>
      </c>
      <c r="N46" s="68">
        <f t="shared" si="35"/>
        <v>7500</v>
      </c>
      <c r="O46" s="24">
        <f t="shared" si="35"/>
        <v>7500</v>
      </c>
      <c r="P46" s="24">
        <f t="shared" si="35"/>
        <v>7500</v>
      </c>
      <c r="Q46" s="24">
        <f t="shared" si="35"/>
        <v>7500</v>
      </c>
      <c r="R46" s="24">
        <f t="shared" si="35"/>
        <v>7500</v>
      </c>
      <c r="S46" s="24">
        <f t="shared" si="35"/>
        <v>7500</v>
      </c>
      <c r="T46" s="24">
        <f t="shared" si="35"/>
        <v>7500</v>
      </c>
      <c r="U46" s="24">
        <f t="shared" si="35"/>
        <v>7500</v>
      </c>
      <c r="V46" s="24">
        <f t="shared" si="35"/>
        <v>7500</v>
      </c>
      <c r="W46" s="24">
        <f t="shared" si="35"/>
        <v>7500</v>
      </c>
      <c r="X46" s="24">
        <f t="shared" si="35"/>
        <v>7500</v>
      </c>
      <c r="Y46" s="24">
        <f t="shared" si="35"/>
        <v>7500</v>
      </c>
      <c r="Z46" s="24">
        <f t="shared" si="35"/>
        <v>7500</v>
      </c>
      <c r="AA46" s="24">
        <f t="shared" si="35"/>
        <v>7500</v>
      </c>
      <c r="AB46" s="24">
        <f t="shared" si="35"/>
        <v>7500</v>
      </c>
      <c r="AC46" s="24">
        <f t="shared" si="35"/>
        <v>7500</v>
      </c>
      <c r="AD46" s="24">
        <f t="shared" si="35"/>
        <v>7500</v>
      </c>
      <c r="AE46" s="24">
        <f t="shared" si="35"/>
        <v>7500</v>
      </c>
      <c r="AF46" s="24">
        <f t="shared" si="35"/>
        <v>7500</v>
      </c>
      <c r="AG46" s="24">
        <f>IF(AG45&gt;0,AF46+AG48,MAX(0,AF46+AG48-(AG43-(AF45-AG45))))</f>
        <v>4965.4262709347722</v>
      </c>
      <c r="AH46" s="24">
        <f t="shared" si="35"/>
        <v>2208.0131986429137</v>
      </c>
    </row>
    <row r="47" spans="1:34" x14ac:dyDescent="0.25">
      <c r="A47" t="s">
        <v>71</v>
      </c>
      <c r="C47" s="54"/>
      <c r="D47" s="101">
        <f>+D45-C45</f>
        <v>583</v>
      </c>
      <c r="E47" s="102">
        <f t="shared" ref="E47:AH47" si="36">+E45-D45</f>
        <v>517</v>
      </c>
      <c r="F47" s="102">
        <f t="shared" si="36"/>
        <v>497</v>
      </c>
      <c r="G47" s="102">
        <f t="shared" si="36"/>
        <v>398</v>
      </c>
      <c r="H47" s="43">
        <f t="shared" si="36"/>
        <v>524</v>
      </c>
      <c r="I47" s="43">
        <f t="shared" si="36"/>
        <v>588</v>
      </c>
      <c r="J47" s="43">
        <f t="shared" si="36"/>
        <v>452</v>
      </c>
      <c r="K47" s="43">
        <f t="shared" si="36"/>
        <v>496</v>
      </c>
      <c r="L47" s="43">
        <f t="shared" si="36"/>
        <v>335</v>
      </c>
      <c r="M47" s="43">
        <f t="shared" si="36"/>
        <v>357.99841000000015</v>
      </c>
      <c r="N47" s="68">
        <f>+N45-M45</f>
        <v>246</v>
      </c>
      <c r="O47" s="24">
        <f t="shared" si="36"/>
        <v>131.89226340058667</v>
      </c>
      <c r="P47" s="4">
        <f t="shared" si="36"/>
        <v>73.913046278932597</v>
      </c>
      <c r="Q47" s="4">
        <f t="shared" si="36"/>
        <v>14.047392925363965</v>
      </c>
      <c r="R47" s="4">
        <f t="shared" si="36"/>
        <v>-47.087227080060984</v>
      </c>
      <c r="S47" s="4">
        <f t="shared" si="36"/>
        <v>-170.33949050026604</v>
      </c>
      <c r="T47" s="4">
        <f t="shared" si="36"/>
        <v>-297.73716308592157</v>
      </c>
      <c r="U47" s="4">
        <f t="shared" si="36"/>
        <v>-429.42447637325859</v>
      </c>
      <c r="V47" s="4">
        <f t="shared" si="36"/>
        <v>-565.55094670823928</v>
      </c>
      <c r="W47" s="4">
        <f t="shared" si="36"/>
        <v>-706.27158286669692</v>
      </c>
      <c r="X47" s="4">
        <f t="shared" si="36"/>
        <v>-731.74710251279339</v>
      </c>
      <c r="Y47" s="4">
        <f t="shared" si="36"/>
        <v>-758.24415790237708</v>
      </c>
      <c r="Z47" s="4">
        <f t="shared" si="36"/>
        <v>-785.80882125776043</v>
      </c>
      <c r="AA47" s="4">
        <f t="shared" si="36"/>
        <v>-813.88204971037885</v>
      </c>
      <c r="AB47" s="4">
        <f t="shared" si="36"/>
        <v>-842.2551895225788</v>
      </c>
      <c r="AC47" s="4">
        <f t="shared" si="36"/>
        <v>-870.904432680014</v>
      </c>
      <c r="AD47" s="4">
        <f t="shared" si="36"/>
        <v>-900.06934616949593</v>
      </c>
      <c r="AE47" s="4">
        <f t="shared" si="36"/>
        <v>-930.2036323330708</v>
      </c>
      <c r="AF47" s="4">
        <f t="shared" si="36"/>
        <v>-960</v>
      </c>
      <c r="AG47" s="4">
        <f t="shared" si="36"/>
        <v>-179</v>
      </c>
      <c r="AH47" s="4">
        <f t="shared" si="36"/>
        <v>0</v>
      </c>
    </row>
    <row r="48" spans="1:34" x14ac:dyDescent="0.25">
      <c r="A48" t="s">
        <v>31</v>
      </c>
      <c r="C48" s="54"/>
      <c r="D48" s="54">
        <f>+D46-C46</f>
        <v>21</v>
      </c>
      <c r="E48" s="54">
        <f>+E46-D46</f>
        <v>24</v>
      </c>
      <c r="F48" s="54">
        <f>+F46-E46</f>
        <v>368</v>
      </c>
      <c r="G48" s="54">
        <f>+G46-F46</f>
        <v>300</v>
      </c>
      <c r="H48" s="59">
        <v>980</v>
      </c>
      <c r="I48">
        <v>349</v>
      </c>
      <c r="J48">
        <v>709</v>
      </c>
      <c r="K48">
        <f>IF(SUM($D48:J48)&lt;(7500-$C46),IF((10000*K6/1000+SUM($D48:J48))&lt;(7500-$C46),10000*K6/1000,7500-$C46-SUM($D48:J48)),0)</f>
        <v>18</v>
      </c>
      <c r="L48">
        <f>IF(SUM($D48:K48)&lt;(7500-$C46),IF((10000*L6/1000+SUM($D48:K48))&lt;(7500-$C46),10000*L6/1000,7500-$C46-SUM($D48:K48)),0)</f>
        <v>0</v>
      </c>
      <c r="M48">
        <f>IF(SUM($D48:L48)&lt;(7500-$C46),IF((10000*M6/1000+SUM($D48:L48))&lt;(7500-$C46),10000*M6/1000,7500-$C46-SUM($D48:L48)),0)</f>
        <v>0</v>
      </c>
      <c r="N48" s="65">
        <f>IF(SUM($D48:M48)&lt;(7500-$C46),IF((10000*N6/1000+SUM($D48:M48))&lt;(7500-$C46),10000*N6/1000,7500-$C46-SUM($D48:M48)),0)</f>
        <v>0</v>
      </c>
      <c r="O48" s="21">
        <f>IF(SUM($D48:N48)&lt;(7500-$C46),IF((10000*O6/1000+SUM($D48:N48))&lt;(7500-$C46),10000*O6/1000,7500-$C46-SUM($D48:N48)),0)</f>
        <v>0</v>
      </c>
      <c r="P48">
        <f>IF(SUM($D48:O48)&lt;(7500-$C46),IF((10000*P6/1000+SUM($D48:O48))&lt;(7500-$C46),10000*P6/1000,7500-$C46-SUM($D48:O48)),0)</f>
        <v>0</v>
      </c>
      <c r="Q48">
        <f>IF(SUM($D48:P48)&lt;(7500-$C46),IF((10000*Q6/1000+SUM($D48:P48))&lt;(7500-$C46),10000*Q6/1000,7500-$C46-SUM($D48:P48)),0)</f>
        <v>0</v>
      </c>
      <c r="R48">
        <f>IF(SUM($D48:Q48)&lt;(7500-$C46),IF((10000*R6/1000+SUM($D48:Q48))&lt;(7500-$C46),10000*R6/1000,7500-$C46-SUM($D48:Q48)),0)</f>
        <v>0</v>
      </c>
      <c r="S48">
        <f>IF(SUM($D48:R48)&lt;(7500-$C46),IF((10000*S6/1000+SUM($D48:R48))&lt;(7500-$C46),10000*S6/1000,7500-$C46-SUM($D48:R48)),0)</f>
        <v>0</v>
      </c>
      <c r="T48">
        <f>IF(SUM($D48:S48)&lt;(7500-$C46),IF((10000*T6/1000+SUM($D48:S48))&lt;(7500-$C46),10000*T6/1000,7500-$C46-SUM($D48:S48)),0)</f>
        <v>0</v>
      </c>
      <c r="U48">
        <f>IF(SUM($D48:T48)&lt;(7500-$C46),IF((10000*U6/1000+SUM($D48:T48))&lt;(7500-$C46),10000*U6/1000,7500-$C46-SUM($D48:T48)),0)</f>
        <v>0</v>
      </c>
      <c r="V48">
        <f>IF(SUM($D48:U48)&lt;(7500-$C46),IF((10000*V6/1000+SUM($D48:U48))&lt;(7500-$C46),10000*V6/1000,7500-$C46-SUM($D48:U48)),0)</f>
        <v>0</v>
      </c>
      <c r="W48">
        <f>IF(SUM($D48:V48)&lt;(7500-$C46),IF((10000*W6/1000+SUM($D48:V48))&lt;(7500-$C46),10000*W6/1000,7500-$C46-SUM($D48:V48)),0)</f>
        <v>0</v>
      </c>
      <c r="X48">
        <f>IF(SUM($D48:W48)&lt;(7500-$C46),IF((10000*X6/1000+SUM($D48:W48))&lt;(7500-$C46),10000*X6/1000,7500-$C46-SUM($D48:W48)),0)</f>
        <v>0</v>
      </c>
      <c r="Y48">
        <f>IF(SUM($D48:X48)&lt;(7500-$C46),IF((10000*Y6/1000+SUM($D48:X48))&lt;(7500-$C46),10000*Y6/1000,7500-$C46-SUM($D48:X48)),0)</f>
        <v>0</v>
      </c>
      <c r="Z48">
        <f>IF(SUM($D48:Y48)&lt;(7500-$C46),IF((10000*Z6/1000+SUM($D48:Y48))&lt;(7500-$C46),10000*Z6/1000,7500-$C46-SUM($D48:Y48)),0)</f>
        <v>0</v>
      </c>
      <c r="AA48">
        <f>IF(SUM($D48:Z48)&lt;(7500-$C46),IF((10000*AA6/1000+SUM($D48:Z48))&lt;(7500-$C46),10000*AA6/1000,7500-$C46-SUM($D48:Z48)),0)</f>
        <v>0</v>
      </c>
      <c r="AB48">
        <f>IF(SUM($D48:AA48)&lt;(7500-$C46),IF((10000*AB6/1000+SUM($D48:AA48))&lt;(7500-$C46),10000*AB6/1000,7500-$C46-SUM($D48:AA48)),0)</f>
        <v>0</v>
      </c>
      <c r="AC48">
        <f>IF(SUM($D48:AB48)&lt;(7500-$C46),IF((10000*AC6/1000+SUM($D48:AB48))&lt;(7500-$C46),10000*AC6/1000,7500-$C46-SUM($D48:AB48)),0)</f>
        <v>0</v>
      </c>
      <c r="AD48">
        <f>IF(SUM($D48:AC48)&lt;(7500-$C46),IF((10000*AD6/1000+SUM($D48:AC48))&lt;(7500-$C46),10000*AD6/1000,7500-$C46-SUM($D48:AC48)),0)</f>
        <v>0</v>
      </c>
      <c r="AE48">
        <f>IF(SUM($D48:AD48)&lt;(7500-$C46),IF((10000*AE6/1000+SUM($D48:AD48))&lt;(7500-$C46),10000*AE6/1000,7500-$C46-SUM($D48:AD48)),0)</f>
        <v>0</v>
      </c>
      <c r="AF48">
        <f>IF(SUM($D48:AE48)&lt;(7500-$C46),IF((10000*AF6/1000+SUM($D48:AE48))&lt;(7500-$C46),10000*AF6/1000,7500-$C46-SUM($D48:AE48)),0)</f>
        <v>0</v>
      </c>
      <c r="AG48" s="4">
        <v>-781</v>
      </c>
      <c r="AH48" s="4">
        <v>-960</v>
      </c>
    </row>
    <row r="49" spans="1:34" x14ac:dyDescent="0.25">
      <c r="A49" t="s">
        <v>55</v>
      </c>
      <c r="C49">
        <v>8</v>
      </c>
      <c r="D49" s="11">
        <v>8</v>
      </c>
      <c r="E49" s="11">
        <v>2</v>
      </c>
      <c r="F49" s="11">
        <v>33</v>
      </c>
      <c r="G49" s="11">
        <v>22</v>
      </c>
      <c r="H49">
        <v>42</v>
      </c>
      <c r="I49" s="11">
        <v>12</v>
      </c>
      <c r="J49" s="11">
        <v>1</v>
      </c>
      <c r="K49" s="11">
        <v>3</v>
      </c>
      <c r="L49" s="11">
        <v>2</v>
      </c>
      <c r="M49" s="11">
        <v>2</v>
      </c>
      <c r="N49" s="78">
        <f>N43</f>
        <v>92.828237000000172</v>
      </c>
      <c r="O49" s="23">
        <f>N49+O43</f>
        <v>224.56273817870556</v>
      </c>
      <c r="P49" s="135">
        <f t="shared" ref="P49:AH49" si="37">O49+P43</f>
        <v>453.691258357604</v>
      </c>
      <c r="Q49" s="135">
        <f t="shared" si="37"/>
        <v>847.35438685776671</v>
      </c>
      <c r="R49" s="135">
        <f>Q49+R43</f>
        <v>1375.5903019249299</v>
      </c>
      <c r="S49" s="135">
        <f t="shared" si="37"/>
        <v>2106.5521053400544</v>
      </c>
      <c r="T49" s="135">
        <f t="shared" si="37"/>
        <v>3050.8333880053237</v>
      </c>
      <c r="U49" s="135">
        <f t="shared" si="37"/>
        <v>4219.6106987446055</v>
      </c>
      <c r="V49" s="135">
        <f t="shared" si="37"/>
        <v>5624.676396104237</v>
      </c>
      <c r="W49" s="135">
        <f t="shared" si="37"/>
        <v>7278.4733630272658</v>
      </c>
      <c r="X49" s="135">
        <f t="shared" si="37"/>
        <v>9074.1316897315701</v>
      </c>
      <c r="Y49" s="135">
        <f t="shared" si="37"/>
        <v>11021.607436037046</v>
      </c>
      <c r="Z49" s="135">
        <f t="shared" si="37"/>
        <v>13131.49684063128</v>
      </c>
      <c r="AA49" s="135">
        <f t="shared" si="37"/>
        <v>15386.43370883539</v>
      </c>
      <c r="AB49" s="135">
        <f t="shared" si="37"/>
        <v>17758.450172079993</v>
      </c>
      <c r="AC49" s="135">
        <f t="shared" si="37"/>
        <v>20218.005855310563</v>
      </c>
      <c r="AD49" s="135">
        <f t="shared" si="37"/>
        <v>22746.442733294378</v>
      </c>
      <c r="AE49" s="135">
        <f t="shared" si="37"/>
        <v>25345.723085737125</v>
      </c>
      <c r="AF49" s="135">
        <f t="shared" si="37"/>
        <v>28016.526723849543</v>
      </c>
      <c r="AG49" s="135">
        <f t="shared" si="37"/>
        <v>29949.100452914772</v>
      </c>
      <c r="AH49" s="135">
        <f t="shared" si="37"/>
        <v>31746.513525206632</v>
      </c>
    </row>
    <row r="50" spans="1:34" x14ac:dyDescent="0.25">
      <c r="A50" t="s">
        <v>56</v>
      </c>
      <c r="C50">
        <f t="shared" ref="C50:F50" si="38">+C49-B49</f>
        <v>8</v>
      </c>
      <c r="D50" s="11">
        <f t="shared" si="38"/>
        <v>0</v>
      </c>
      <c r="E50" s="11">
        <f t="shared" si="38"/>
        <v>-6</v>
      </c>
      <c r="F50" s="11">
        <f t="shared" si="38"/>
        <v>31</v>
      </c>
      <c r="G50" s="11">
        <f>+G49-F49</f>
        <v>-11</v>
      </c>
      <c r="H50" s="11">
        <f>+H49-G49</f>
        <v>20</v>
      </c>
      <c r="I50" s="11">
        <f t="shared" ref="I50:AH50" si="39">+I49-H49</f>
        <v>-30</v>
      </c>
      <c r="J50" s="11">
        <f t="shared" si="39"/>
        <v>-11</v>
      </c>
      <c r="K50" s="11">
        <f t="shared" si="39"/>
        <v>2</v>
      </c>
      <c r="L50" s="11">
        <f t="shared" si="39"/>
        <v>-1</v>
      </c>
      <c r="M50" s="11">
        <f t="shared" si="39"/>
        <v>0</v>
      </c>
      <c r="N50" s="78">
        <f>+N49-M49</f>
        <v>90.828237000000172</v>
      </c>
      <c r="O50" s="23">
        <f t="shared" si="39"/>
        <v>131.73450117870539</v>
      </c>
      <c r="P50" s="11">
        <f t="shared" si="39"/>
        <v>229.12852017889844</v>
      </c>
      <c r="Q50" s="11">
        <f t="shared" si="39"/>
        <v>393.66312850016271</v>
      </c>
      <c r="R50" s="11">
        <f t="shared" si="39"/>
        <v>528.23591506716321</v>
      </c>
      <c r="S50" s="11">
        <f t="shared" si="39"/>
        <v>730.96180341512445</v>
      </c>
      <c r="T50" s="11">
        <f t="shared" si="39"/>
        <v>944.28128266526937</v>
      </c>
      <c r="U50" s="11">
        <f t="shared" si="39"/>
        <v>1168.7773107392818</v>
      </c>
      <c r="V50" s="11">
        <f t="shared" si="39"/>
        <v>1405.0656973596315</v>
      </c>
      <c r="W50" s="11">
        <f t="shared" si="39"/>
        <v>1653.7969669230288</v>
      </c>
      <c r="X50" s="11">
        <f t="shared" si="39"/>
        <v>1795.6583267043043</v>
      </c>
      <c r="Y50" s="11">
        <f t="shared" si="39"/>
        <v>1947.4757463054757</v>
      </c>
      <c r="Z50" s="11">
        <f t="shared" si="39"/>
        <v>2109.8894045942343</v>
      </c>
      <c r="AA50" s="11">
        <f t="shared" si="39"/>
        <v>2254.9368682041095</v>
      </c>
      <c r="AB50" s="11">
        <f t="shared" si="39"/>
        <v>2372.0164632446031</v>
      </c>
      <c r="AC50" s="11">
        <f t="shared" si="39"/>
        <v>2459.5556832305701</v>
      </c>
      <c r="AD50" s="11">
        <f t="shared" si="39"/>
        <v>2528.4368779838151</v>
      </c>
      <c r="AE50" s="11">
        <f t="shared" si="39"/>
        <v>2599.2803524427472</v>
      </c>
      <c r="AF50" s="11">
        <f t="shared" si="39"/>
        <v>2670.8036381124184</v>
      </c>
      <c r="AG50" s="11">
        <f t="shared" si="39"/>
        <v>1932.5737290652287</v>
      </c>
      <c r="AH50" s="11">
        <f t="shared" si="39"/>
        <v>1797.4130722918599</v>
      </c>
    </row>
    <row r="51" spans="1:34" x14ac:dyDescent="0.25">
      <c r="D51" s="59"/>
      <c r="E51" s="59"/>
      <c r="F51" s="59"/>
      <c r="G51" s="59"/>
      <c r="H51" s="59"/>
      <c r="I51" s="59"/>
      <c r="N51" s="43"/>
    </row>
    <row r="73" spans="1:40" x14ac:dyDescent="0.25">
      <c r="C73" s="4"/>
    </row>
    <row r="74" spans="1:40" x14ac:dyDescent="0.25">
      <c r="G74" s="14">
        <f>G3</f>
        <v>2013</v>
      </c>
      <c r="H74" s="14">
        <f t="shared" ref="H74:AH74" si="40">H3</f>
        <v>2014</v>
      </c>
      <c r="I74" s="14">
        <f t="shared" si="40"/>
        <v>2015</v>
      </c>
      <c r="J74" s="14">
        <f t="shared" si="40"/>
        <v>2016</v>
      </c>
      <c r="K74" s="14">
        <f t="shared" si="40"/>
        <v>2017</v>
      </c>
      <c r="L74" s="14">
        <f t="shared" si="40"/>
        <v>2018</v>
      </c>
      <c r="M74" s="14">
        <f t="shared" si="40"/>
        <v>2019</v>
      </c>
      <c r="N74" s="14">
        <f t="shared" si="40"/>
        <v>2020</v>
      </c>
      <c r="O74" s="14">
        <f t="shared" si="40"/>
        <v>2021</v>
      </c>
      <c r="P74" s="14">
        <f t="shared" si="40"/>
        <v>2022</v>
      </c>
      <c r="Q74" s="14">
        <f t="shared" si="40"/>
        <v>2023</v>
      </c>
      <c r="R74" s="14">
        <f t="shared" si="40"/>
        <v>2024</v>
      </c>
      <c r="S74" s="14">
        <f t="shared" si="40"/>
        <v>2025</v>
      </c>
      <c r="T74" s="14">
        <f t="shared" si="40"/>
        <v>2026</v>
      </c>
      <c r="U74" s="14">
        <f t="shared" si="40"/>
        <v>2027</v>
      </c>
      <c r="V74" s="14">
        <f t="shared" si="40"/>
        <v>2028</v>
      </c>
      <c r="W74" s="14">
        <f t="shared" si="40"/>
        <v>2029</v>
      </c>
      <c r="X74" s="14">
        <f t="shared" si="40"/>
        <v>2030</v>
      </c>
      <c r="Y74" s="14">
        <f t="shared" si="40"/>
        <v>2031</v>
      </c>
      <c r="Z74" s="14">
        <f t="shared" si="40"/>
        <v>2032</v>
      </c>
      <c r="AA74" s="14">
        <f t="shared" si="40"/>
        <v>2033</v>
      </c>
      <c r="AB74" s="14">
        <f t="shared" si="40"/>
        <v>2034</v>
      </c>
      <c r="AC74" s="14">
        <f t="shared" si="40"/>
        <v>2035</v>
      </c>
      <c r="AD74" s="14">
        <f t="shared" si="40"/>
        <v>2036</v>
      </c>
      <c r="AE74" s="14">
        <f t="shared" si="40"/>
        <v>2037</v>
      </c>
      <c r="AF74" s="14">
        <f t="shared" si="40"/>
        <v>2038</v>
      </c>
      <c r="AG74" s="14">
        <f t="shared" si="40"/>
        <v>2039</v>
      </c>
      <c r="AH74" s="14">
        <f t="shared" si="40"/>
        <v>2040</v>
      </c>
    </row>
    <row r="75" spans="1:40" x14ac:dyDescent="0.25">
      <c r="A75" t="s">
        <v>62</v>
      </c>
      <c r="C75" s="10">
        <f t="shared" ref="C75:AH75" si="41">+C34-C18+C23+C29</f>
        <v>-299</v>
      </c>
      <c r="D75" s="10">
        <f t="shared" si="41"/>
        <v>-200</v>
      </c>
      <c r="E75" s="10">
        <f t="shared" si="41"/>
        <v>-214</v>
      </c>
      <c r="F75" s="10">
        <f t="shared" si="41"/>
        <v>-173</v>
      </c>
      <c r="G75" s="10">
        <f t="shared" si="41"/>
        <v>-161</v>
      </c>
      <c r="H75" s="10">
        <f t="shared" si="41"/>
        <v>-122</v>
      </c>
      <c r="I75" s="10">
        <f t="shared" si="41"/>
        <v>-143</v>
      </c>
      <c r="J75" s="10">
        <f t="shared" si="41"/>
        <v>-38</v>
      </c>
      <c r="K75" s="10">
        <f t="shared" si="41"/>
        <v>65</v>
      </c>
      <c r="L75" s="10">
        <f t="shared" si="41"/>
        <v>106</v>
      </c>
      <c r="M75" s="10">
        <f>+M34-M18+M23+M29</f>
        <v>66.555650000000128</v>
      </c>
      <c r="N75" s="10">
        <f>+N34-N18+N23+N29</f>
        <v>252.29395000000017</v>
      </c>
      <c r="O75" s="10">
        <f t="shared" si="41"/>
        <v>317.59648603800088</v>
      </c>
      <c r="P75" s="10">
        <f t="shared" si="41"/>
        <v>409.86938643895121</v>
      </c>
      <c r="Q75" s="10">
        <f t="shared" si="41"/>
        <v>499.17334217492498</v>
      </c>
      <c r="R75" s="10">
        <f t="shared" si="41"/>
        <v>595.97988043054784</v>
      </c>
      <c r="S75" s="10">
        <f t="shared" si="41"/>
        <v>700.80592107874952</v>
      </c>
      <c r="T75" s="10">
        <f t="shared" si="41"/>
        <v>814.2010675612089</v>
      </c>
      <c r="U75" s="10">
        <f t="shared" si="41"/>
        <v>936.74957664649514</v>
      </c>
      <c r="V75" s="10">
        <f t="shared" si="41"/>
        <v>1069.0724432976153</v>
      </c>
      <c r="W75" s="10">
        <f t="shared" si="41"/>
        <v>1211.8296072315959</v>
      </c>
      <c r="X75" s="10">
        <f t="shared" si="41"/>
        <v>1365.7222881240796</v>
      </c>
      <c r="Y75" s="10">
        <f t="shared" si="41"/>
        <v>1531.4954568029152</v>
      </c>
      <c r="Z75" s="10">
        <f t="shared" si="41"/>
        <v>1709.9404501873851</v>
      </c>
      <c r="AA75" s="10">
        <f t="shared" si="41"/>
        <v>1864.5185888738611</v>
      </c>
      <c r="AB75" s="10">
        <f t="shared" si="41"/>
        <v>1981.3716666169762</v>
      </c>
      <c r="AC75" s="10">
        <f t="shared" si="41"/>
        <v>2058.4338849297069</v>
      </c>
      <c r="AD75" s="10">
        <f t="shared" si="41"/>
        <v>2109.8947320529487</v>
      </c>
      <c r="AE75" s="10">
        <f t="shared" si="41"/>
        <v>2162.6421003542723</v>
      </c>
      <c r="AF75" s="10">
        <f t="shared" si="41"/>
        <v>2216.7081528631293</v>
      </c>
      <c r="AG75" s="10">
        <f t="shared" si="41"/>
        <v>2272.1258566847068</v>
      </c>
      <c r="AH75" s="10">
        <f t="shared" si="41"/>
        <v>2328.9290031018245</v>
      </c>
      <c r="AI75" s="10"/>
      <c r="AJ75" s="10"/>
      <c r="AK75" s="10"/>
      <c r="AL75" s="10"/>
      <c r="AM75" s="10"/>
      <c r="AN75" s="10"/>
    </row>
    <row r="76" spans="1:40" x14ac:dyDescent="0.25">
      <c r="A76" t="s">
        <v>63</v>
      </c>
      <c r="C76" s="90">
        <f t="shared" ref="C76:AH76" si="42">+C34-C75</f>
        <v>-310</v>
      </c>
      <c r="D76" s="90">
        <f t="shared" si="42"/>
        <v>-199</v>
      </c>
      <c r="E76" s="90">
        <f t="shared" si="42"/>
        <v>-71</v>
      </c>
      <c r="F76" s="90">
        <f t="shared" si="42"/>
        <v>-83</v>
      </c>
      <c r="G76" s="90">
        <f t="shared" si="42"/>
        <v>-73</v>
      </c>
      <c r="H76" s="90">
        <f t="shared" si="42"/>
        <v>-101</v>
      </c>
      <c r="I76" s="90">
        <f t="shared" si="42"/>
        <v>-162</v>
      </c>
      <c r="J76" s="90">
        <f t="shared" si="42"/>
        <v>-164</v>
      </c>
      <c r="K76" s="90">
        <f>+K34-K75</f>
        <v>-232</v>
      </c>
      <c r="L76" s="90">
        <f t="shared" si="42"/>
        <v>-180</v>
      </c>
      <c r="M76" s="90">
        <f t="shared" si="42"/>
        <v>-129.12335000000041</v>
      </c>
      <c r="N76" s="90">
        <f t="shared" si="42"/>
        <v>41.534287000000006</v>
      </c>
      <c r="O76" s="90">
        <f t="shared" si="42"/>
        <v>-52.969721458708818</v>
      </c>
      <c r="P76" s="90">
        <f>+P34-P75</f>
        <v>-5.8139644951764922</v>
      </c>
      <c r="Q76" s="90">
        <f t="shared" si="42"/>
        <v>44.440686392443922</v>
      </c>
      <c r="R76" s="90">
        <f t="shared" si="42"/>
        <v>45.551703552255049</v>
      </c>
      <c r="S76" s="90">
        <f t="shared" si="42"/>
        <v>46.690496141061317</v>
      </c>
      <c r="T76" s="90">
        <f t="shared" si="42"/>
        <v>47.857758544588023</v>
      </c>
      <c r="U76" s="90">
        <f t="shared" si="42"/>
        <v>49.054202508202707</v>
      </c>
      <c r="V76" s="90">
        <f t="shared" si="42"/>
        <v>50.280557570907831</v>
      </c>
      <c r="W76" s="90">
        <f t="shared" si="42"/>
        <v>51.537571510180442</v>
      </c>
      <c r="X76" s="90">
        <f t="shared" si="42"/>
        <v>52.826010797934941</v>
      </c>
      <c r="Y76" s="90">
        <f t="shared" si="42"/>
        <v>54.146661067883315</v>
      </c>
      <c r="Z76" s="90">
        <f t="shared" si="42"/>
        <v>55.500327594580313</v>
      </c>
      <c r="AA76" s="90">
        <f t="shared" si="42"/>
        <v>56.887835784445087</v>
      </c>
      <c r="AB76" s="90">
        <f t="shared" si="42"/>
        <v>58.310031679056237</v>
      </c>
      <c r="AC76" s="90">
        <f t="shared" si="42"/>
        <v>59.76778247103266</v>
      </c>
      <c r="AD76" s="90">
        <f t="shared" si="42"/>
        <v>61.261977032808318</v>
      </c>
      <c r="AE76" s="90">
        <f t="shared" si="42"/>
        <v>62.793526458628548</v>
      </c>
      <c r="AF76" s="90">
        <f t="shared" si="42"/>
        <v>64.363364620094217</v>
      </c>
      <c r="AG76" s="90">
        <f t="shared" si="42"/>
        <v>65.972448735597027</v>
      </c>
      <c r="AH76" s="90">
        <f t="shared" si="42"/>
        <v>67.621759953986839</v>
      </c>
      <c r="AI76" s="90"/>
      <c r="AJ76" s="90"/>
      <c r="AK76" s="90"/>
      <c r="AL76" s="90"/>
      <c r="AM76" s="90"/>
      <c r="AN76" s="90"/>
    </row>
    <row r="77" spans="1:40" x14ac:dyDescent="0.25">
      <c r="A77" t="s">
        <v>64</v>
      </c>
      <c r="C77" s="10">
        <f t="shared" ref="C77:AH77" si="43">+C75+C76</f>
        <v>-609</v>
      </c>
      <c r="D77" s="10">
        <f t="shared" si="43"/>
        <v>-399</v>
      </c>
      <c r="E77" s="10">
        <f t="shared" si="43"/>
        <v>-285</v>
      </c>
      <c r="F77" s="10">
        <f t="shared" si="43"/>
        <v>-256</v>
      </c>
      <c r="G77" s="10">
        <f t="shared" si="43"/>
        <v>-234</v>
      </c>
      <c r="H77" s="10">
        <f t="shared" si="43"/>
        <v>-223</v>
      </c>
      <c r="I77" s="10">
        <f t="shared" si="43"/>
        <v>-305</v>
      </c>
      <c r="J77" s="10">
        <f t="shared" si="43"/>
        <v>-202</v>
      </c>
      <c r="K77" s="10">
        <f t="shared" si="43"/>
        <v>-167</v>
      </c>
      <c r="L77" s="10">
        <f t="shared" si="43"/>
        <v>-74</v>
      </c>
      <c r="M77" s="10">
        <f t="shared" si="43"/>
        <v>-62.567700000000286</v>
      </c>
      <c r="N77" s="10">
        <f t="shared" si="43"/>
        <v>293.82823700000017</v>
      </c>
      <c r="O77" s="10">
        <f t="shared" si="43"/>
        <v>264.62676457929206</v>
      </c>
      <c r="P77" s="10">
        <f t="shared" si="43"/>
        <v>404.05542194377472</v>
      </c>
      <c r="Q77" s="10">
        <f t="shared" si="43"/>
        <v>543.6140285673689</v>
      </c>
      <c r="R77" s="10">
        <f t="shared" si="43"/>
        <v>641.53158398280289</v>
      </c>
      <c r="S77" s="10">
        <f t="shared" si="43"/>
        <v>747.49641721981084</v>
      </c>
      <c r="T77" s="10">
        <f t="shared" si="43"/>
        <v>862.05882610579692</v>
      </c>
      <c r="U77" s="10">
        <f t="shared" si="43"/>
        <v>985.80377915469785</v>
      </c>
      <c r="V77" s="10">
        <f t="shared" si="43"/>
        <v>1119.3530008685232</v>
      </c>
      <c r="W77" s="10">
        <f t="shared" si="43"/>
        <v>1263.3671787417763</v>
      </c>
      <c r="X77" s="10">
        <f t="shared" si="43"/>
        <v>1418.5482989220145</v>
      </c>
      <c r="Y77" s="10">
        <f t="shared" si="43"/>
        <v>1585.6421178707985</v>
      </c>
      <c r="Z77" s="10">
        <f t="shared" si="43"/>
        <v>1765.4407777819654</v>
      </c>
      <c r="AA77" s="10">
        <f t="shared" si="43"/>
        <v>1921.4064246583062</v>
      </c>
      <c r="AB77" s="10">
        <f t="shared" si="43"/>
        <v>2039.6816982960324</v>
      </c>
      <c r="AC77" s="10">
        <f t="shared" si="43"/>
        <v>2118.2016674007396</v>
      </c>
      <c r="AD77" s="10">
        <f t="shared" si="43"/>
        <v>2171.156709085757</v>
      </c>
      <c r="AE77" s="10">
        <f t="shared" si="43"/>
        <v>2225.4356268129009</v>
      </c>
      <c r="AF77" s="10">
        <f t="shared" si="43"/>
        <v>2281.0715174832235</v>
      </c>
      <c r="AG77" s="10">
        <f t="shared" si="43"/>
        <v>2338.0983054203039</v>
      </c>
      <c r="AH77" s="10">
        <f t="shared" si="43"/>
        <v>2396.5507630558113</v>
      </c>
      <c r="AI77" s="10"/>
      <c r="AJ77" s="10"/>
      <c r="AK77" s="10"/>
      <c r="AL77" s="10"/>
      <c r="AM77" s="10"/>
      <c r="AN77" s="10"/>
    </row>
    <row r="79" spans="1:40" x14ac:dyDescent="0.25">
      <c r="M79" s="10"/>
      <c r="N79" s="10"/>
      <c r="O79" s="10"/>
    </row>
    <row r="80" spans="1:40" x14ac:dyDescent="0.25">
      <c r="F80" s="43"/>
      <c r="G80" s="43"/>
      <c r="H80" s="43"/>
      <c r="I80" s="43"/>
      <c r="J80" s="43"/>
      <c r="K80" s="43"/>
      <c r="L80" s="43"/>
      <c r="M80" s="43"/>
      <c r="N80" s="43"/>
      <c r="O80" s="43"/>
      <c r="P80" s="43"/>
      <c r="Q80" s="43"/>
      <c r="R80" s="43"/>
      <c r="S80" s="43"/>
      <c r="T80" s="43"/>
      <c r="U80" s="43"/>
      <c r="V80" s="43"/>
      <c r="W80" s="43"/>
      <c r="X80" s="43"/>
      <c r="Y80" s="43"/>
      <c r="Z80" s="43"/>
      <c r="AA80" s="43"/>
      <c r="AB80" s="43"/>
      <c r="AC80" s="43"/>
    </row>
    <row r="81" spans="4:29" x14ac:dyDescent="0.25">
      <c r="D81" s="59"/>
      <c r="E81" s="59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</row>
    <row r="82" spans="4:29" x14ac:dyDescent="0.25">
      <c r="F82" s="59"/>
      <c r="G82" s="59"/>
      <c r="H82" s="59"/>
      <c r="I82" s="59"/>
      <c r="J82" s="59"/>
      <c r="K82" s="59"/>
      <c r="L82" s="59"/>
      <c r="M82" s="59"/>
      <c r="N82" s="59"/>
      <c r="O82" s="59"/>
      <c r="P82" s="59"/>
      <c r="Q82" s="59"/>
      <c r="R82" s="59"/>
      <c r="S82" s="59"/>
      <c r="T82" s="59"/>
      <c r="U82" s="59"/>
      <c r="V82" s="59"/>
      <c r="W82" s="59"/>
      <c r="X82" s="59"/>
      <c r="Y82" s="59"/>
      <c r="Z82" s="59"/>
      <c r="AA82" s="59"/>
      <c r="AB82" s="59"/>
      <c r="AC82" s="59"/>
    </row>
    <row r="86" spans="4:29" x14ac:dyDescent="0.25">
      <c r="H86" s="10"/>
      <c r="K86" s="111"/>
      <c r="L86" s="111"/>
      <c r="M86" s="111"/>
      <c r="N86" s="111"/>
      <c r="O86" s="111"/>
      <c r="P86" s="111"/>
      <c r="Q86" s="111"/>
      <c r="R86" s="111"/>
      <c r="S86" s="111"/>
      <c r="T86" s="111"/>
      <c r="U86" s="111"/>
      <c r="V86" s="111"/>
      <c r="W86" s="111"/>
      <c r="X86" s="111"/>
      <c r="Y86" s="111"/>
      <c r="Z86" s="111"/>
      <c r="AA86" s="111"/>
      <c r="AB86" s="111"/>
      <c r="AC86" s="111"/>
    </row>
    <row r="88" spans="4:29" x14ac:dyDescent="0.25">
      <c r="L88" s="103"/>
    </row>
    <row r="91" spans="4:29" x14ac:dyDescent="0.25"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  <c r="AA91" s="10"/>
      <c r="AB91" s="10"/>
      <c r="AC91" s="10"/>
    </row>
  </sheetData>
  <pageMargins left="0.25" right="0.25" top="0.25" bottom="0.25" header="0.3" footer="0.3"/>
  <pageSetup scale="47" orientation="landscape" r:id="rId1"/>
  <drawing r:id="rId2"/>
  <legacy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95EC25-E663-4691-8B01-567FB04CE566}">
  <sheetPr>
    <pageSetUpPr fitToPage="1"/>
  </sheetPr>
  <dimension ref="A1:AN91"/>
  <sheetViews>
    <sheetView workbookViewId="0">
      <pane xSplit="1" ySplit="3" topLeftCell="M10" activePane="bottomRight" state="frozen"/>
      <selection pane="topRight" activeCell="B1" sqref="B1"/>
      <selection pane="bottomLeft" activeCell="A4" sqref="A4"/>
      <selection pane="bottomRight" sqref="A1:XFD1048576"/>
    </sheetView>
  </sheetViews>
  <sheetFormatPr defaultRowHeight="15" x14ac:dyDescent="0.25"/>
  <cols>
    <col min="1" max="1" width="42.7109375" bestFit="1" customWidth="1"/>
    <col min="2" max="2" width="11.28515625" hidden="1" customWidth="1"/>
    <col min="3" max="3" width="11.5703125" hidden="1" customWidth="1"/>
    <col min="4" max="4" width="9.5703125" hidden="1" customWidth="1"/>
    <col min="5" max="5" width="10.5703125" hidden="1" customWidth="1"/>
    <col min="6" max="6" width="10" hidden="1" customWidth="1"/>
    <col min="7" max="7" width="9.42578125" hidden="1" customWidth="1"/>
    <col min="8" max="10" width="8.5703125" hidden="1" customWidth="1"/>
    <col min="11" max="11" width="9.42578125" hidden="1" customWidth="1"/>
    <col min="12" max="12" width="8.5703125" hidden="1" customWidth="1"/>
    <col min="13" max="29" width="8.5703125" customWidth="1"/>
  </cols>
  <sheetData>
    <row r="1" spans="1:34" ht="23.25" customHeight="1" x14ac:dyDescent="0.4">
      <c r="A1" s="19" t="s">
        <v>22</v>
      </c>
      <c r="M1" s="50"/>
      <c r="N1" s="50"/>
      <c r="O1" s="50"/>
    </row>
    <row r="2" spans="1:34" ht="18.75" x14ac:dyDescent="0.3">
      <c r="A2" s="20" t="s">
        <v>82</v>
      </c>
      <c r="G2" s="10"/>
      <c r="H2" s="79"/>
      <c r="I2" s="79"/>
      <c r="J2" s="79"/>
      <c r="K2" s="79"/>
      <c r="L2" s="79"/>
      <c r="N2" s="138"/>
      <c r="O2" s="146" t="s">
        <v>81</v>
      </c>
      <c r="P2" s="136" t="s">
        <v>57</v>
      </c>
    </row>
    <row r="3" spans="1:34" x14ac:dyDescent="0.25">
      <c r="A3" t="s">
        <v>28</v>
      </c>
      <c r="C3" s="14">
        <v>2009</v>
      </c>
      <c r="D3" s="14">
        <v>2010</v>
      </c>
      <c r="E3" s="14">
        <v>2011</v>
      </c>
      <c r="F3" s="14">
        <v>2012</v>
      </c>
      <c r="G3" s="14">
        <f t="shared" ref="G3:V3" si="0">+F3+1</f>
        <v>2013</v>
      </c>
      <c r="H3" s="14">
        <f t="shared" si="0"/>
        <v>2014</v>
      </c>
      <c r="I3" s="14">
        <f t="shared" si="0"/>
        <v>2015</v>
      </c>
      <c r="J3" s="14">
        <f t="shared" si="0"/>
        <v>2016</v>
      </c>
      <c r="K3" s="14">
        <f t="shared" si="0"/>
        <v>2017</v>
      </c>
      <c r="L3" s="14">
        <f t="shared" si="0"/>
        <v>2018</v>
      </c>
      <c r="M3" s="14">
        <f t="shared" si="0"/>
        <v>2019</v>
      </c>
      <c r="N3" s="14">
        <f t="shared" si="0"/>
        <v>2020</v>
      </c>
      <c r="O3" s="64">
        <f t="shared" si="0"/>
        <v>2021</v>
      </c>
      <c r="P3" s="27">
        <f t="shared" si="0"/>
        <v>2022</v>
      </c>
      <c r="Q3" s="14">
        <f t="shared" si="0"/>
        <v>2023</v>
      </c>
      <c r="R3" s="14">
        <f t="shared" si="0"/>
        <v>2024</v>
      </c>
      <c r="S3" s="14">
        <f t="shared" si="0"/>
        <v>2025</v>
      </c>
      <c r="T3" s="14">
        <f t="shared" si="0"/>
        <v>2026</v>
      </c>
      <c r="U3" s="14">
        <f t="shared" si="0"/>
        <v>2027</v>
      </c>
      <c r="V3" s="14">
        <f t="shared" si="0"/>
        <v>2028</v>
      </c>
      <c r="W3" s="14">
        <f>+V3+1</f>
        <v>2029</v>
      </c>
      <c r="X3" s="14">
        <f>+W3+1</f>
        <v>2030</v>
      </c>
      <c r="Y3" s="14">
        <f t="shared" ref="Y3:AH3" si="1">+X3+1</f>
        <v>2031</v>
      </c>
      <c r="Z3" s="14">
        <f t="shared" si="1"/>
        <v>2032</v>
      </c>
      <c r="AA3" s="14">
        <f t="shared" si="1"/>
        <v>2033</v>
      </c>
      <c r="AB3" s="14">
        <f t="shared" si="1"/>
        <v>2034</v>
      </c>
      <c r="AC3" s="14">
        <f t="shared" si="1"/>
        <v>2035</v>
      </c>
      <c r="AD3" s="14">
        <f t="shared" si="1"/>
        <v>2036</v>
      </c>
      <c r="AE3" s="14">
        <f t="shared" si="1"/>
        <v>2037</v>
      </c>
      <c r="AF3" s="14">
        <f t="shared" si="1"/>
        <v>2038</v>
      </c>
      <c r="AG3" s="14">
        <f t="shared" si="1"/>
        <v>2039</v>
      </c>
      <c r="AH3" s="14">
        <f t="shared" si="1"/>
        <v>2040</v>
      </c>
    </row>
    <row r="4" spans="1:34" x14ac:dyDescent="0.25">
      <c r="O4" s="65"/>
      <c r="P4" s="21"/>
    </row>
    <row r="5" spans="1:34" s="4" customFormat="1" x14ac:dyDescent="0.25">
      <c r="A5" s="104" t="s">
        <v>50</v>
      </c>
      <c r="C5" s="43">
        <v>332</v>
      </c>
      <c r="D5" s="43">
        <f>+C5+D6</f>
        <v>379</v>
      </c>
      <c r="E5" s="43">
        <f t="shared" ref="E5:AH5" si="2">+D5+E6</f>
        <v>424</v>
      </c>
      <c r="F5" s="43">
        <f t="shared" si="2"/>
        <v>468</v>
      </c>
      <c r="G5" s="43">
        <f t="shared" si="2"/>
        <v>510</v>
      </c>
      <c r="H5" s="43">
        <f t="shared" si="2"/>
        <v>544</v>
      </c>
      <c r="I5" s="43">
        <f t="shared" si="2"/>
        <v>581</v>
      </c>
      <c r="J5" s="43">
        <f t="shared" si="2"/>
        <v>615</v>
      </c>
      <c r="K5" s="43">
        <f t="shared" si="2"/>
        <v>671</v>
      </c>
      <c r="L5" s="43">
        <f t="shared" si="2"/>
        <v>717</v>
      </c>
      <c r="M5" s="43">
        <v>764</v>
      </c>
      <c r="N5">
        <v>820</v>
      </c>
      <c r="O5" s="65">
        <v>884</v>
      </c>
      <c r="P5" s="141">
        <v>913</v>
      </c>
      <c r="Q5" s="4">
        <f t="shared" si="2"/>
        <v>955</v>
      </c>
      <c r="R5" s="4">
        <f t="shared" si="2"/>
        <v>997</v>
      </c>
      <c r="S5" s="4">
        <f t="shared" si="2"/>
        <v>1039</v>
      </c>
      <c r="T5" s="4">
        <f t="shared" si="2"/>
        <v>1081</v>
      </c>
      <c r="U5" s="4">
        <f t="shared" si="2"/>
        <v>1123</v>
      </c>
      <c r="V5" s="4">
        <f t="shared" si="2"/>
        <v>1165</v>
      </c>
      <c r="W5" s="4">
        <f t="shared" si="2"/>
        <v>1207</v>
      </c>
      <c r="X5" s="4">
        <f t="shared" si="2"/>
        <v>1249</v>
      </c>
      <c r="Y5" s="4">
        <f t="shared" si="2"/>
        <v>1291</v>
      </c>
      <c r="Z5" s="4">
        <f t="shared" si="2"/>
        <v>1333</v>
      </c>
      <c r="AA5" s="4">
        <f t="shared" si="2"/>
        <v>1375</v>
      </c>
      <c r="AB5" s="4">
        <f t="shared" si="2"/>
        <v>1401</v>
      </c>
      <c r="AC5" s="4">
        <f t="shared" si="2"/>
        <v>1401</v>
      </c>
      <c r="AD5" s="4">
        <f t="shared" si="2"/>
        <v>1401</v>
      </c>
      <c r="AE5" s="4">
        <f t="shared" si="2"/>
        <v>1401</v>
      </c>
      <c r="AF5" s="4">
        <f t="shared" si="2"/>
        <v>1401</v>
      </c>
      <c r="AG5" s="4">
        <f t="shared" si="2"/>
        <v>1401</v>
      </c>
      <c r="AH5" s="4">
        <f t="shared" si="2"/>
        <v>1401</v>
      </c>
    </row>
    <row r="6" spans="1:34" x14ac:dyDescent="0.25">
      <c r="A6" s="1" t="s">
        <v>68</v>
      </c>
      <c r="D6" s="3">
        <v>47</v>
      </c>
      <c r="E6" s="3">
        <v>45</v>
      </c>
      <c r="F6" s="3">
        <v>44</v>
      </c>
      <c r="G6" s="3">
        <v>42</v>
      </c>
      <c r="H6" s="3">
        <v>34</v>
      </c>
      <c r="I6" s="3">
        <v>37</v>
      </c>
      <c r="J6" s="3">
        <v>34</v>
      </c>
      <c r="K6" s="3">
        <v>56</v>
      </c>
      <c r="L6" s="3">
        <v>46</v>
      </c>
      <c r="M6" s="3">
        <f>+M5-L5</f>
        <v>47</v>
      </c>
      <c r="N6" s="139">
        <f>N5-M5</f>
        <v>56</v>
      </c>
      <c r="O6" s="131">
        <f>O5-N5</f>
        <v>64</v>
      </c>
      <c r="P6" s="132">
        <v>42</v>
      </c>
      <c r="Q6" s="3">
        <v>42</v>
      </c>
      <c r="R6" s="3">
        <v>42</v>
      </c>
      <c r="S6" s="3">
        <v>42</v>
      </c>
      <c r="T6" s="3">
        <v>42</v>
      </c>
      <c r="U6" s="3">
        <v>42</v>
      </c>
      <c r="V6" s="3">
        <v>42</v>
      </c>
      <c r="W6" s="3">
        <v>42</v>
      </c>
      <c r="X6" s="3">
        <v>42</v>
      </c>
      <c r="Y6" s="3">
        <v>42</v>
      </c>
      <c r="Z6" s="3">
        <v>42</v>
      </c>
      <c r="AA6" s="3">
        <v>42</v>
      </c>
      <c r="AB6" s="3">
        <v>26</v>
      </c>
      <c r="AC6" s="3">
        <v>0</v>
      </c>
      <c r="AD6" s="3">
        <v>0</v>
      </c>
      <c r="AE6" s="3">
        <v>0</v>
      </c>
      <c r="AF6" s="3">
        <v>0</v>
      </c>
      <c r="AG6" s="3">
        <v>0</v>
      </c>
      <c r="AH6" s="3">
        <v>0</v>
      </c>
    </row>
    <row r="7" spans="1:34" s="105" customFormat="1" x14ac:dyDescent="0.25">
      <c r="A7" s="105" t="s">
        <v>32</v>
      </c>
      <c r="D7" s="106">
        <f>+D8/C8-1</f>
        <v>9.8654708520179435E-2</v>
      </c>
      <c r="E7" s="106">
        <v>0</v>
      </c>
      <c r="F7" s="106">
        <v>0.05</v>
      </c>
      <c r="G7" s="106">
        <v>0.05</v>
      </c>
      <c r="H7" s="107">
        <v>0.05</v>
      </c>
      <c r="I7" s="107">
        <v>0.05</v>
      </c>
      <c r="J7" s="107">
        <v>0.05</v>
      </c>
      <c r="K7" s="107">
        <v>0</v>
      </c>
      <c r="L7" s="107">
        <v>0.05</v>
      </c>
      <c r="M7" s="107">
        <v>0.05</v>
      </c>
      <c r="N7" s="107">
        <f>+N8/M8-1</f>
        <v>4.9999999999999822E-2</v>
      </c>
      <c r="O7" s="108">
        <f t="shared" ref="O7:AH7" si="3">+O8/N8-1</f>
        <v>5.0000000000000044E-2</v>
      </c>
      <c r="P7" s="130">
        <f t="shared" si="3"/>
        <v>5.0000000000000044E-2</v>
      </c>
      <c r="Q7" s="110">
        <f t="shared" si="3"/>
        <v>5.0000000000000044E-2</v>
      </c>
      <c r="R7" s="110">
        <f t="shared" si="3"/>
        <v>5.0000000000000044E-2</v>
      </c>
      <c r="S7" s="110">
        <f t="shared" si="3"/>
        <v>5.0000000000000044E-2</v>
      </c>
      <c r="T7" s="110">
        <f t="shared" si="3"/>
        <v>5.0000000000000044E-2</v>
      </c>
      <c r="U7" s="110">
        <f t="shared" si="3"/>
        <v>5.0000000000000044E-2</v>
      </c>
      <c r="V7" s="110">
        <f t="shared" si="3"/>
        <v>5.0000000000000044E-2</v>
      </c>
      <c r="W7" s="110">
        <f t="shared" si="3"/>
        <v>5.0000000000000044E-2</v>
      </c>
      <c r="X7" s="110">
        <f t="shared" si="3"/>
        <v>5.0000000000000044E-2</v>
      </c>
      <c r="Y7" s="110">
        <f t="shared" si="3"/>
        <v>5.0000000000000044E-2</v>
      </c>
      <c r="Z7" s="110">
        <f t="shared" si="3"/>
        <v>5.0000000000000044E-2</v>
      </c>
      <c r="AA7" s="110">
        <f t="shared" si="3"/>
        <v>3.5718739418019396E-2</v>
      </c>
      <c r="AB7" s="110">
        <f t="shared" si="3"/>
        <v>2.5000000000000133E-2</v>
      </c>
      <c r="AC7" s="110">
        <f t="shared" si="3"/>
        <v>2.5000000000000133E-2</v>
      </c>
      <c r="AD7" s="110">
        <f t="shared" si="3"/>
        <v>2.4999999999999911E-2</v>
      </c>
      <c r="AE7" s="110">
        <f t="shared" si="3"/>
        <v>2.4999999999999911E-2</v>
      </c>
      <c r="AF7" s="110">
        <f t="shared" si="3"/>
        <v>2.4999999999999911E-2</v>
      </c>
      <c r="AG7" s="110">
        <f t="shared" si="3"/>
        <v>2.5000000000000133E-2</v>
      </c>
      <c r="AH7" s="110">
        <f t="shared" si="3"/>
        <v>2.4999999999999911E-2</v>
      </c>
    </row>
    <row r="8" spans="1:34" x14ac:dyDescent="0.25">
      <c r="A8" t="s">
        <v>3</v>
      </c>
      <c r="C8" s="3">
        <f>55.75*12</f>
        <v>669</v>
      </c>
      <c r="D8" s="3">
        <v>735</v>
      </c>
      <c r="E8" s="3">
        <v>735</v>
      </c>
      <c r="F8" s="121">
        <v>772</v>
      </c>
      <c r="G8" s="121">
        <v>810</v>
      </c>
      <c r="H8" s="122">
        <v>850</v>
      </c>
      <c r="I8" s="122">
        <v>892</v>
      </c>
      <c r="J8" s="122">
        <v>936</v>
      </c>
      <c r="K8" s="122">
        <v>936</v>
      </c>
      <c r="L8" s="122">
        <v>984</v>
      </c>
      <c r="M8" s="122">
        <v>1032</v>
      </c>
      <c r="N8" s="122">
        <v>1083.5999999999999</v>
      </c>
      <c r="O8" s="123">
        <f t="shared" ref="O8:AH8" si="4">IF(M45=0,N8,MIN(1.05*N8,1200*1.025^(O3-$F3)))</f>
        <v>1137.78</v>
      </c>
      <c r="P8" s="24">
        <f t="shared" si="4"/>
        <v>1194.6690000000001</v>
      </c>
      <c r="Q8" s="4">
        <f t="shared" si="4"/>
        <v>1254.40245</v>
      </c>
      <c r="R8" s="4">
        <f t="shared" si="4"/>
        <v>1317.1225725000002</v>
      </c>
      <c r="S8" s="4">
        <f t="shared" si="4"/>
        <v>1382.9787011250003</v>
      </c>
      <c r="T8" s="4">
        <f t="shared" si="4"/>
        <v>1452.1276361812504</v>
      </c>
      <c r="U8" s="4">
        <f t="shared" si="4"/>
        <v>1524.7340179903131</v>
      </c>
      <c r="V8" s="4">
        <f t="shared" si="4"/>
        <v>1600.9707188898287</v>
      </c>
      <c r="W8" s="4">
        <f t="shared" si="4"/>
        <v>1681.0192548343202</v>
      </c>
      <c r="X8" s="4">
        <f t="shared" si="4"/>
        <v>1765.0702175760364</v>
      </c>
      <c r="Y8" s="4">
        <f t="shared" si="4"/>
        <v>1853.3237284548384</v>
      </c>
      <c r="Z8" s="4">
        <f t="shared" si="4"/>
        <v>1945.9899148775803</v>
      </c>
      <c r="AA8" s="4">
        <f t="shared" si="4"/>
        <v>2015.4982215571863</v>
      </c>
      <c r="AB8" s="4">
        <f t="shared" si="4"/>
        <v>2065.8856770961161</v>
      </c>
      <c r="AC8" s="4">
        <f t="shared" si="4"/>
        <v>2117.5328190235191</v>
      </c>
      <c r="AD8" s="4">
        <f t="shared" si="4"/>
        <v>2170.4711394991068</v>
      </c>
      <c r="AE8" s="4">
        <f t="shared" si="4"/>
        <v>2224.7329179865842</v>
      </c>
      <c r="AF8" s="4">
        <f t="shared" si="4"/>
        <v>2280.3512409362484</v>
      </c>
      <c r="AG8" s="4">
        <f t="shared" si="4"/>
        <v>2337.3600219596547</v>
      </c>
      <c r="AH8" s="4">
        <f t="shared" si="4"/>
        <v>2395.7940225086459</v>
      </c>
    </row>
    <row r="9" spans="1:34" x14ac:dyDescent="0.25">
      <c r="A9" t="s">
        <v>4</v>
      </c>
      <c r="E9" s="44"/>
      <c r="F9" s="51"/>
      <c r="G9" s="44"/>
      <c r="H9" s="44"/>
      <c r="I9" s="44"/>
      <c r="J9" s="51"/>
      <c r="K9" s="51"/>
      <c r="L9" s="51">
        <v>2.5000000000000001E-2</v>
      </c>
      <c r="M9" s="51">
        <f t="shared" ref="M9:AH9" si="5">+L9</f>
        <v>2.5000000000000001E-2</v>
      </c>
      <c r="N9" s="51">
        <f t="shared" si="5"/>
        <v>2.5000000000000001E-2</v>
      </c>
      <c r="O9" s="97">
        <f t="shared" si="5"/>
        <v>2.5000000000000001E-2</v>
      </c>
      <c r="P9" s="47">
        <f t="shared" si="5"/>
        <v>2.5000000000000001E-2</v>
      </c>
      <c r="Q9" s="17">
        <f t="shared" si="5"/>
        <v>2.5000000000000001E-2</v>
      </c>
      <c r="R9" s="17">
        <f t="shared" si="5"/>
        <v>2.5000000000000001E-2</v>
      </c>
      <c r="S9" s="17">
        <f t="shared" si="5"/>
        <v>2.5000000000000001E-2</v>
      </c>
      <c r="T9" s="17">
        <f t="shared" si="5"/>
        <v>2.5000000000000001E-2</v>
      </c>
      <c r="U9" s="17">
        <f t="shared" si="5"/>
        <v>2.5000000000000001E-2</v>
      </c>
      <c r="V9" s="17">
        <f t="shared" si="5"/>
        <v>2.5000000000000001E-2</v>
      </c>
      <c r="W9" s="17">
        <f t="shared" si="5"/>
        <v>2.5000000000000001E-2</v>
      </c>
      <c r="X9" s="17">
        <f t="shared" si="5"/>
        <v>2.5000000000000001E-2</v>
      </c>
      <c r="Y9" s="17">
        <f t="shared" si="5"/>
        <v>2.5000000000000001E-2</v>
      </c>
      <c r="Z9" s="17">
        <f t="shared" si="5"/>
        <v>2.5000000000000001E-2</v>
      </c>
      <c r="AA9" s="17">
        <f t="shared" si="5"/>
        <v>2.5000000000000001E-2</v>
      </c>
      <c r="AB9" s="17">
        <f t="shared" si="5"/>
        <v>2.5000000000000001E-2</v>
      </c>
      <c r="AC9" s="17">
        <f t="shared" si="5"/>
        <v>2.5000000000000001E-2</v>
      </c>
      <c r="AD9" s="17">
        <f t="shared" si="5"/>
        <v>2.5000000000000001E-2</v>
      </c>
      <c r="AE9" s="17">
        <f t="shared" si="5"/>
        <v>2.5000000000000001E-2</v>
      </c>
      <c r="AF9" s="17">
        <f t="shared" si="5"/>
        <v>2.5000000000000001E-2</v>
      </c>
      <c r="AG9" s="17">
        <f t="shared" si="5"/>
        <v>2.5000000000000001E-2</v>
      </c>
      <c r="AH9" s="17">
        <f t="shared" si="5"/>
        <v>2.5000000000000001E-2</v>
      </c>
    </row>
    <row r="10" spans="1:34" x14ac:dyDescent="0.25">
      <c r="A10" t="s">
        <v>24</v>
      </c>
      <c r="E10" s="45"/>
      <c r="F10" s="45"/>
      <c r="G10" s="45"/>
      <c r="H10" s="45"/>
      <c r="I10" s="45"/>
      <c r="J10" s="45"/>
      <c r="K10" s="45"/>
      <c r="L10" s="45">
        <v>0</v>
      </c>
      <c r="M10" s="45">
        <v>0</v>
      </c>
      <c r="N10" s="45">
        <v>0</v>
      </c>
      <c r="O10" s="70">
        <v>0</v>
      </c>
      <c r="P10" s="37">
        <v>0</v>
      </c>
      <c r="Q10" s="16">
        <v>0</v>
      </c>
      <c r="R10" s="16">
        <v>0</v>
      </c>
      <c r="S10" s="16">
        <v>0</v>
      </c>
      <c r="T10" s="16">
        <v>0</v>
      </c>
      <c r="U10" s="16">
        <v>0</v>
      </c>
      <c r="V10" s="16">
        <v>0</v>
      </c>
      <c r="W10" s="16">
        <v>0</v>
      </c>
      <c r="X10" s="16">
        <v>0</v>
      </c>
      <c r="Y10" s="16">
        <v>0</v>
      </c>
      <c r="Z10" s="16">
        <v>0</v>
      </c>
      <c r="AA10" s="16">
        <v>0</v>
      </c>
      <c r="AB10" s="16">
        <v>0</v>
      </c>
      <c r="AC10" s="16">
        <v>0</v>
      </c>
      <c r="AD10" s="16">
        <v>0</v>
      </c>
      <c r="AE10" s="16">
        <v>0</v>
      </c>
      <c r="AF10" s="16">
        <v>0</v>
      </c>
      <c r="AG10" s="16">
        <v>0</v>
      </c>
      <c r="AH10" s="16">
        <v>0</v>
      </c>
    </row>
    <row r="11" spans="1:34" x14ac:dyDescent="0.25">
      <c r="A11" t="s">
        <v>25</v>
      </c>
      <c r="D11" s="18">
        <v>4.2500000000000003E-2</v>
      </c>
      <c r="E11" s="46">
        <v>4.2500000000000003E-2</v>
      </c>
      <c r="F11" s="46">
        <v>4.2500000000000003E-2</v>
      </c>
      <c r="G11" s="46">
        <v>3.2500000000000001E-2</v>
      </c>
      <c r="H11" s="46">
        <v>3.2500000000000001E-2</v>
      </c>
      <c r="I11" s="46">
        <v>3.2500000000000001E-2</v>
      </c>
      <c r="J11" s="46">
        <v>3.2500000000000001E-2</v>
      </c>
      <c r="K11" s="46">
        <v>3.2500000000000001E-2</v>
      </c>
      <c r="L11" s="46">
        <v>3.2500000000000001E-2</v>
      </c>
      <c r="M11" s="46">
        <v>3.2500000000000001E-2</v>
      </c>
      <c r="N11" s="46">
        <v>3.2500000000000001E-2</v>
      </c>
      <c r="O11" s="98">
        <v>3.2500000000000001E-2</v>
      </c>
      <c r="P11" s="38">
        <v>3.2500000000000001E-2</v>
      </c>
      <c r="Q11" s="18">
        <v>3.2500000000000001E-2</v>
      </c>
      <c r="R11" s="18">
        <v>3.2500000000000001E-2</v>
      </c>
      <c r="S11" s="18">
        <v>3.2500000000000001E-2</v>
      </c>
      <c r="T11" s="18">
        <v>3.2500000000000001E-2</v>
      </c>
      <c r="U11" s="18">
        <v>3.2500000000000001E-2</v>
      </c>
      <c r="V11" s="18">
        <v>3.2500000000000001E-2</v>
      </c>
      <c r="W11" s="18">
        <v>3.2500000000000001E-2</v>
      </c>
      <c r="X11" s="18">
        <v>3.2500000000000001E-2</v>
      </c>
      <c r="Y11" s="18">
        <v>3.2500000000000001E-2</v>
      </c>
      <c r="Z11" s="18">
        <v>3.2500000000000001E-2</v>
      </c>
      <c r="AA11" s="18">
        <v>3.2500000000000001E-2</v>
      </c>
      <c r="AB11" s="18">
        <v>3.2500000000000001E-2</v>
      </c>
      <c r="AC11" s="18">
        <v>3.2500000000000001E-2</v>
      </c>
      <c r="AD11" s="18">
        <v>3.2500000000000001E-2</v>
      </c>
      <c r="AE11" s="18">
        <v>3.2500000000000001E-2</v>
      </c>
      <c r="AF11" s="18">
        <v>3.2500000000000001E-2</v>
      </c>
      <c r="AG11" s="18">
        <v>3.2500000000000001E-2</v>
      </c>
      <c r="AH11" s="18">
        <v>3.2500000000000001E-2</v>
      </c>
    </row>
    <row r="12" spans="1:34" x14ac:dyDescent="0.25">
      <c r="O12" s="65"/>
      <c r="P12" s="21"/>
    </row>
    <row r="13" spans="1:34" x14ac:dyDescent="0.25">
      <c r="A13" s="7" t="s">
        <v>41</v>
      </c>
      <c r="I13" s="58"/>
      <c r="K13" s="58"/>
      <c r="L13" s="58"/>
      <c r="M13" s="58"/>
      <c r="O13" s="65"/>
      <c r="P13" s="21"/>
    </row>
    <row r="14" spans="1:34" x14ac:dyDescent="0.25">
      <c r="A14" t="s">
        <v>2</v>
      </c>
      <c r="C14" s="3">
        <v>214</v>
      </c>
      <c r="D14" s="3">
        <v>267</v>
      </c>
      <c r="E14" s="3">
        <v>297</v>
      </c>
      <c r="F14" s="34">
        <v>348</v>
      </c>
      <c r="G14" s="34">
        <v>398</v>
      </c>
      <c r="H14" s="34">
        <v>447</v>
      </c>
      <c r="I14" s="3">
        <v>506</v>
      </c>
      <c r="J14" s="43">
        <v>562</v>
      </c>
      <c r="K14" s="43">
        <v>606</v>
      </c>
      <c r="L14" s="43">
        <v>680</v>
      </c>
      <c r="M14" s="43">
        <v>771.11131</v>
      </c>
      <c r="N14" s="43">
        <v>861.67862000000002</v>
      </c>
      <c r="O14" s="147">
        <v>973.96275000000003</v>
      </c>
      <c r="P14" s="24">
        <v>1065.9117699999999</v>
      </c>
      <c r="Q14" s="4">
        <f t="shared" ref="Q14:AH14" si="6">+(Q5+P5)/2*Q8/1000</f>
        <v>1171.6118882999999</v>
      </c>
      <c r="R14" s="4">
        <f t="shared" si="6"/>
        <v>1285.5116307600001</v>
      </c>
      <c r="S14" s="4">
        <f t="shared" si="6"/>
        <v>1407.8723177452503</v>
      </c>
      <c r="T14" s="4">
        <f t="shared" si="6"/>
        <v>1539.2552943521255</v>
      </c>
      <c r="U14" s="4">
        <f t="shared" si="6"/>
        <v>1680.2568878253248</v>
      </c>
      <c r="V14" s="4">
        <f t="shared" si="6"/>
        <v>1831.5105024099641</v>
      </c>
      <c r="W14" s="4">
        <f t="shared" si="6"/>
        <v>1993.6888362335039</v>
      </c>
      <c r="X14" s="4">
        <f t="shared" si="6"/>
        <v>2167.5062271833726</v>
      </c>
      <c r="Y14" s="4">
        <f t="shared" si="6"/>
        <v>2353.7211351376445</v>
      </c>
      <c r="Z14" s="4">
        <f t="shared" si="6"/>
        <v>2553.1387683193852</v>
      </c>
      <c r="AA14" s="4">
        <f t="shared" si="6"/>
        <v>2728.9845919884306</v>
      </c>
      <c r="AB14" s="4">
        <f t="shared" si="6"/>
        <v>2867.4493198094092</v>
      </c>
      <c r="AC14" s="4">
        <f t="shared" si="6"/>
        <v>2966.66347945195</v>
      </c>
      <c r="AD14" s="4">
        <f t="shared" si="6"/>
        <v>3040.8300664382487</v>
      </c>
      <c r="AE14" s="4">
        <f t="shared" si="6"/>
        <v>3116.8508180992044</v>
      </c>
      <c r="AF14" s="4">
        <f t="shared" si="6"/>
        <v>3194.7720885516837</v>
      </c>
      <c r="AG14" s="4">
        <f t="shared" si="6"/>
        <v>3274.641390765476</v>
      </c>
      <c r="AH14" s="4">
        <f t="shared" si="6"/>
        <v>3356.507425534613</v>
      </c>
    </row>
    <row r="15" spans="1:34" x14ac:dyDescent="0.25">
      <c r="A15" t="s">
        <v>5</v>
      </c>
      <c r="C15" s="3">
        <v>5</v>
      </c>
      <c r="D15" s="3">
        <v>5</v>
      </c>
      <c r="E15" s="3">
        <v>5</v>
      </c>
      <c r="F15" s="34">
        <v>5</v>
      </c>
      <c r="G15" s="34">
        <v>5</v>
      </c>
      <c r="H15" s="34">
        <v>5</v>
      </c>
      <c r="I15" s="3">
        <v>5</v>
      </c>
      <c r="J15" s="43">
        <v>6</v>
      </c>
      <c r="K15" s="43">
        <v>0</v>
      </c>
      <c r="L15" s="43">
        <f t="shared" ref="L15:AA16" si="7">+K15*(1+L$9)</f>
        <v>0</v>
      </c>
      <c r="M15" s="43">
        <f t="shared" si="7"/>
        <v>0</v>
      </c>
      <c r="N15" s="43">
        <f t="shared" si="7"/>
        <v>0</v>
      </c>
      <c r="O15" s="142">
        <f t="shared" si="7"/>
        <v>0</v>
      </c>
      <c r="P15" s="24">
        <f t="shared" si="7"/>
        <v>0</v>
      </c>
      <c r="Q15" s="4">
        <f t="shared" si="7"/>
        <v>0</v>
      </c>
      <c r="R15" s="4">
        <f t="shared" si="7"/>
        <v>0</v>
      </c>
      <c r="S15" s="4">
        <f t="shared" si="7"/>
        <v>0</v>
      </c>
      <c r="T15" s="4">
        <f t="shared" si="7"/>
        <v>0</v>
      </c>
      <c r="U15" s="4">
        <f t="shared" si="7"/>
        <v>0</v>
      </c>
      <c r="V15" s="4">
        <f t="shared" si="7"/>
        <v>0</v>
      </c>
      <c r="W15" s="4">
        <f t="shared" si="7"/>
        <v>0</v>
      </c>
      <c r="X15" s="4">
        <f t="shared" si="7"/>
        <v>0</v>
      </c>
      <c r="Y15" s="4">
        <f t="shared" si="7"/>
        <v>0</v>
      </c>
      <c r="Z15" s="4">
        <f t="shared" si="7"/>
        <v>0</v>
      </c>
      <c r="AA15" s="4">
        <f t="shared" si="7"/>
        <v>0</v>
      </c>
      <c r="AB15" s="4">
        <f t="shared" ref="AB15:AH16" si="8">+AA15*(1+AB$9)</f>
        <v>0</v>
      </c>
      <c r="AC15" s="4">
        <f t="shared" si="8"/>
        <v>0</v>
      </c>
      <c r="AD15" s="4">
        <f t="shared" si="8"/>
        <v>0</v>
      </c>
      <c r="AE15" s="4">
        <f t="shared" si="8"/>
        <v>0</v>
      </c>
      <c r="AF15" s="4">
        <f t="shared" si="8"/>
        <v>0</v>
      </c>
      <c r="AG15" s="4">
        <f t="shared" si="8"/>
        <v>0</v>
      </c>
      <c r="AH15" s="4">
        <f t="shared" si="8"/>
        <v>0</v>
      </c>
    </row>
    <row r="16" spans="1:34" x14ac:dyDescent="0.25">
      <c r="A16" t="s">
        <v>39</v>
      </c>
      <c r="C16" s="3">
        <v>4</v>
      </c>
      <c r="D16" s="3">
        <v>3</v>
      </c>
      <c r="E16" s="3">
        <v>20</v>
      </c>
      <c r="F16" s="34">
        <v>5</v>
      </c>
      <c r="G16" s="34">
        <v>5</v>
      </c>
      <c r="H16" s="34">
        <v>5</v>
      </c>
      <c r="I16" s="3">
        <v>13</v>
      </c>
      <c r="J16" s="43">
        <v>23</v>
      </c>
      <c r="K16" s="43">
        <v>30</v>
      </c>
      <c r="L16" s="43">
        <v>49</v>
      </c>
      <c r="M16" s="43">
        <v>23.773009999999999</v>
      </c>
      <c r="N16" s="43">
        <v>27.802</v>
      </c>
      <c r="O16" s="147">
        <f>0.42384+24.70509-0.62566+0.32</f>
        <v>24.823269999999997</v>
      </c>
      <c r="P16" s="24">
        <v>24.11</v>
      </c>
      <c r="Q16" s="4">
        <f t="shared" si="7"/>
        <v>24.712749999999996</v>
      </c>
      <c r="R16" s="4">
        <f t="shared" si="7"/>
        <v>25.330568749999994</v>
      </c>
      <c r="S16" s="4">
        <f t="shared" si="7"/>
        <v>25.96383296874999</v>
      </c>
      <c r="T16" s="4">
        <f t="shared" si="7"/>
        <v>26.612928792968738</v>
      </c>
      <c r="U16" s="4">
        <f t="shared" si="7"/>
        <v>27.278252012792954</v>
      </c>
      <c r="V16" s="4">
        <f t="shared" si="7"/>
        <v>27.960208313112776</v>
      </c>
      <c r="W16" s="4">
        <f t="shared" si="7"/>
        <v>28.659213520940593</v>
      </c>
      <c r="X16" s="4">
        <f t="shared" si="7"/>
        <v>29.375693858964105</v>
      </c>
      <c r="Y16" s="4">
        <f t="shared" si="7"/>
        <v>30.110086205438204</v>
      </c>
      <c r="Z16" s="4">
        <f t="shared" si="7"/>
        <v>30.862838360574155</v>
      </c>
      <c r="AA16" s="4">
        <f t="shared" si="7"/>
        <v>31.634409319588507</v>
      </c>
      <c r="AB16" s="4">
        <f t="shared" si="8"/>
        <v>32.425269552578214</v>
      </c>
      <c r="AC16" s="4">
        <f t="shared" si="8"/>
        <v>33.235901291392665</v>
      </c>
      <c r="AD16" s="4">
        <f t="shared" si="8"/>
        <v>34.06679882367748</v>
      </c>
      <c r="AE16" s="4">
        <f t="shared" si="8"/>
        <v>34.918468794269415</v>
      </c>
      <c r="AF16" s="4">
        <f t="shared" si="8"/>
        <v>35.791430514126148</v>
      </c>
      <c r="AG16" s="4">
        <f t="shared" si="8"/>
        <v>36.686216276979302</v>
      </c>
      <c r="AH16" s="4">
        <f t="shared" si="8"/>
        <v>37.603371683903781</v>
      </c>
    </row>
    <row r="17" spans="1:34" x14ac:dyDescent="0.25">
      <c r="A17" t="s">
        <v>6</v>
      </c>
      <c r="C17" s="34">
        <v>0</v>
      </c>
      <c r="D17" s="34">
        <v>0</v>
      </c>
      <c r="E17" s="34">
        <v>0</v>
      </c>
      <c r="F17" s="34">
        <v>0</v>
      </c>
      <c r="G17" s="34">
        <v>0</v>
      </c>
      <c r="H17" s="95">
        <v>0</v>
      </c>
      <c r="I17" s="3">
        <v>0</v>
      </c>
      <c r="J17" s="43">
        <v>0</v>
      </c>
      <c r="K17" s="43">
        <v>0</v>
      </c>
      <c r="L17" s="43">
        <v>0</v>
      </c>
      <c r="M17" s="43">
        <v>0</v>
      </c>
      <c r="N17" s="43">
        <v>0</v>
      </c>
      <c r="O17" s="147">
        <f>-14.3341-1.15264</f>
        <v>-15.486739999999999</v>
      </c>
      <c r="P17" s="24">
        <v>0</v>
      </c>
      <c r="Q17" s="4">
        <v>0</v>
      </c>
      <c r="R17" s="4"/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4">
        <v>0</v>
      </c>
      <c r="AA17" s="4">
        <v>0</v>
      </c>
      <c r="AB17" s="4">
        <v>0</v>
      </c>
      <c r="AC17" s="4">
        <v>0</v>
      </c>
      <c r="AD17" s="4">
        <v>0</v>
      </c>
      <c r="AE17" s="4">
        <v>0</v>
      </c>
      <c r="AF17" s="4">
        <v>0</v>
      </c>
      <c r="AG17" s="4">
        <v>0</v>
      </c>
      <c r="AH17" s="4">
        <v>0</v>
      </c>
    </row>
    <row r="18" spans="1:34" x14ac:dyDescent="0.25">
      <c r="A18" t="s">
        <v>12</v>
      </c>
      <c r="C18" s="3">
        <f>940-77-359</f>
        <v>504</v>
      </c>
      <c r="D18" s="3">
        <v>580</v>
      </c>
      <c r="E18" s="3">
        <v>672</v>
      </c>
      <c r="F18" s="52">
        <v>696</v>
      </c>
      <c r="G18" s="52">
        <v>717</v>
      </c>
      <c r="H18" s="8">
        <v>669</v>
      </c>
      <c r="I18" s="10">
        <v>592</v>
      </c>
      <c r="J18" s="10">
        <v>573</v>
      </c>
      <c r="K18" s="10">
        <v>544</v>
      </c>
      <c r="L18" s="10">
        <v>583</v>
      </c>
      <c r="M18" s="10">
        <v>645.65287999999953</v>
      </c>
      <c r="N18" s="10">
        <v>721.51774699999999</v>
      </c>
      <c r="O18" s="72">
        <v>962.26874999999995</v>
      </c>
      <c r="P18" s="39">
        <v>971.04827999999998</v>
      </c>
      <c r="Q18" s="10">
        <f>P18*(1+Q9)+SUM(20*12*210/1000)</f>
        <v>1045.724487</v>
      </c>
      <c r="R18" s="10">
        <f t="shared" ref="R18:AH18" si="9">Q18*(1+R9)</f>
        <v>1071.8675991749999</v>
      </c>
      <c r="S18" s="10">
        <f t="shared" si="9"/>
        <v>1098.6642891543747</v>
      </c>
      <c r="T18" s="10">
        <f t="shared" si="9"/>
        <v>1126.1308963832339</v>
      </c>
      <c r="U18" s="10">
        <f t="shared" si="9"/>
        <v>1154.2841687928146</v>
      </c>
      <c r="V18" s="10">
        <f t="shared" si="9"/>
        <v>1183.1412730126349</v>
      </c>
      <c r="W18" s="10">
        <f t="shared" si="9"/>
        <v>1212.7198048379507</v>
      </c>
      <c r="X18" s="10">
        <f t="shared" si="9"/>
        <v>1243.0377999588993</v>
      </c>
      <c r="Y18" s="10">
        <f t="shared" si="9"/>
        <v>1274.1137449578716</v>
      </c>
      <c r="Z18" s="10">
        <f t="shared" si="9"/>
        <v>1305.9665885818183</v>
      </c>
      <c r="AA18" s="10">
        <f t="shared" si="9"/>
        <v>1338.6157532963637</v>
      </c>
      <c r="AB18" s="10">
        <f t="shared" si="9"/>
        <v>1372.0811471287727</v>
      </c>
      <c r="AC18" s="10">
        <f t="shared" si="9"/>
        <v>1406.3831758069919</v>
      </c>
      <c r="AD18" s="10">
        <f t="shared" si="9"/>
        <v>1441.5427552021665</v>
      </c>
      <c r="AE18" s="10">
        <f t="shared" si="9"/>
        <v>1477.5813240822206</v>
      </c>
      <c r="AF18" s="10">
        <f t="shared" si="9"/>
        <v>1514.5208571842759</v>
      </c>
      <c r="AG18" s="10">
        <f t="shared" si="9"/>
        <v>1552.3838786138826</v>
      </c>
      <c r="AH18" s="10">
        <f t="shared" si="9"/>
        <v>1591.1934755792295</v>
      </c>
    </row>
    <row r="19" spans="1:34" x14ac:dyDescent="0.25">
      <c r="A19" t="s">
        <v>10</v>
      </c>
      <c r="C19" s="8">
        <v>22</v>
      </c>
      <c r="D19" s="8">
        <v>14</v>
      </c>
      <c r="E19" s="8">
        <v>31</v>
      </c>
      <c r="F19" s="8">
        <v>15</v>
      </c>
      <c r="G19" s="8">
        <v>18</v>
      </c>
      <c r="H19" s="8">
        <v>10</v>
      </c>
      <c r="I19" s="8">
        <v>30</v>
      </c>
      <c r="J19" s="8">
        <v>38</v>
      </c>
      <c r="K19" s="100">
        <v>31</v>
      </c>
      <c r="L19" s="100">
        <v>40</v>
      </c>
      <c r="M19" s="100">
        <v>57.382570000000122</v>
      </c>
      <c r="N19" s="100">
        <v>-2.6967100000000208</v>
      </c>
      <c r="O19" s="148">
        <v>-7.7837800000000001</v>
      </c>
      <c r="P19" s="40">
        <v>-3.7229999999999999</v>
      </c>
      <c r="Q19" s="9">
        <f t="shared" ref="Q19:AH19" si="10">+P19*(1+Q$9)</f>
        <v>-3.8160749999999997</v>
      </c>
      <c r="R19" s="9">
        <f t="shared" si="10"/>
        <v>-3.9114768749999995</v>
      </c>
      <c r="S19" s="9">
        <f t="shared" si="10"/>
        <v>-4.0092637968749996</v>
      </c>
      <c r="T19" s="9">
        <f t="shared" si="10"/>
        <v>-4.109495391796874</v>
      </c>
      <c r="U19" s="9">
        <f t="shared" si="10"/>
        <v>-4.2122327765917955</v>
      </c>
      <c r="V19" s="9">
        <f t="shared" si="10"/>
        <v>-4.3175385960065897</v>
      </c>
      <c r="W19" s="9">
        <f t="shared" si="10"/>
        <v>-4.4254770609067542</v>
      </c>
      <c r="X19" s="9">
        <f t="shared" si="10"/>
        <v>-4.536113987429423</v>
      </c>
      <c r="Y19" s="9">
        <f t="shared" si="10"/>
        <v>-4.6495168371151578</v>
      </c>
      <c r="Z19" s="9">
        <f t="shared" si="10"/>
        <v>-4.7657547580430366</v>
      </c>
      <c r="AA19" s="9">
        <f t="shared" si="10"/>
        <v>-4.8848986269941124</v>
      </c>
      <c r="AB19" s="9">
        <f t="shared" si="10"/>
        <v>-5.0070210926689649</v>
      </c>
      <c r="AC19" s="9">
        <f t="shared" si="10"/>
        <v>-5.132196619985689</v>
      </c>
      <c r="AD19" s="9">
        <f t="shared" si="10"/>
        <v>-5.2605015354853304</v>
      </c>
      <c r="AE19" s="9">
        <f t="shared" si="10"/>
        <v>-5.3920140738724633</v>
      </c>
      <c r="AF19" s="9">
        <f t="shared" si="10"/>
        <v>-5.5268144257192748</v>
      </c>
      <c r="AG19" s="9">
        <f t="shared" si="10"/>
        <v>-5.6649847863622558</v>
      </c>
      <c r="AH19" s="9">
        <f t="shared" si="10"/>
        <v>-5.8066094060213116</v>
      </c>
    </row>
    <row r="20" spans="1:34" x14ac:dyDescent="0.25">
      <c r="A20" s="6" t="s">
        <v>43</v>
      </c>
      <c r="C20" s="13">
        <f>SUM(C14:C18)</f>
        <v>727</v>
      </c>
      <c r="D20" s="35">
        <f t="shared" ref="D20:AH20" si="11">SUM(D14:D18)</f>
        <v>855</v>
      </c>
      <c r="E20" s="35">
        <f t="shared" si="11"/>
        <v>994</v>
      </c>
      <c r="F20" s="35">
        <f t="shared" si="11"/>
        <v>1054</v>
      </c>
      <c r="G20" s="35">
        <f t="shared" si="11"/>
        <v>1125</v>
      </c>
      <c r="H20" s="35">
        <f t="shared" si="11"/>
        <v>1126</v>
      </c>
      <c r="I20" s="35">
        <f t="shared" si="11"/>
        <v>1116</v>
      </c>
      <c r="J20" s="35">
        <f t="shared" si="11"/>
        <v>1164</v>
      </c>
      <c r="K20" s="35">
        <f t="shared" ref="K20:M20" si="12">SUM(K14:K19)</f>
        <v>1211</v>
      </c>
      <c r="L20" s="35">
        <f t="shared" si="12"/>
        <v>1352</v>
      </c>
      <c r="M20" s="35">
        <f t="shared" si="12"/>
        <v>1497.9197699999997</v>
      </c>
      <c r="N20" s="35">
        <f>SUM(N14:N19)</f>
        <v>1608.3016570000002</v>
      </c>
      <c r="O20" s="74">
        <f>SUM(O14:O19)</f>
        <v>1937.7842499999999</v>
      </c>
      <c r="P20" s="29">
        <f t="shared" si="11"/>
        <v>2061.0700499999998</v>
      </c>
      <c r="Q20" s="13">
        <f t="shared" si="11"/>
        <v>2242.0491253</v>
      </c>
      <c r="R20" s="13">
        <f t="shared" si="11"/>
        <v>2382.7097986849999</v>
      </c>
      <c r="S20" s="13">
        <f t="shared" si="11"/>
        <v>2532.500439868375</v>
      </c>
      <c r="T20" s="13">
        <f t="shared" si="11"/>
        <v>2691.9991195283283</v>
      </c>
      <c r="U20" s="13">
        <f t="shared" si="11"/>
        <v>2861.8193086309325</v>
      </c>
      <c r="V20" s="13">
        <f t="shared" si="11"/>
        <v>3042.6119837357119</v>
      </c>
      <c r="W20" s="13">
        <f t="shared" si="11"/>
        <v>3235.0678545923952</v>
      </c>
      <c r="X20" s="13">
        <f t="shared" si="11"/>
        <v>3439.9197210012362</v>
      </c>
      <c r="Y20" s="13">
        <f t="shared" si="11"/>
        <v>3657.9449663009545</v>
      </c>
      <c r="Z20" s="13">
        <f t="shared" si="11"/>
        <v>3889.9681952617775</v>
      </c>
      <c r="AA20" s="13">
        <f t="shared" si="11"/>
        <v>4099.2347546043829</v>
      </c>
      <c r="AB20" s="13">
        <f t="shared" si="11"/>
        <v>4271.9557364907605</v>
      </c>
      <c r="AC20" s="13">
        <f t="shared" si="11"/>
        <v>4406.2825565503344</v>
      </c>
      <c r="AD20" s="13">
        <f t="shared" si="11"/>
        <v>4516.4396204640925</v>
      </c>
      <c r="AE20" s="13">
        <f t="shared" si="11"/>
        <v>4629.3506109756945</v>
      </c>
      <c r="AF20" s="13">
        <f t="shared" si="11"/>
        <v>4745.0843762500863</v>
      </c>
      <c r="AG20" s="13">
        <f t="shared" si="11"/>
        <v>4863.7114856563385</v>
      </c>
      <c r="AH20" s="13">
        <f t="shared" si="11"/>
        <v>4985.3042727977463</v>
      </c>
    </row>
    <row r="21" spans="1:34" x14ac:dyDescent="0.25">
      <c r="A21" s="56" t="s">
        <v>53</v>
      </c>
      <c r="D21" s="55">
        <f>+D20/C20-1</f>
        <v>0.17606602475928468</v>
      </c>
      <c r="E21" s="55">
        <f t="shared" ref="E21:AH21" si="13">+E20/D20-1</f>
        <v>0.16257309941520459</v>
      </c>
      <c r="F21" s="55">
        <f t="shared" si="13"/>
        <v>6.0362173038229328E-2</v>
      </c>
      <c r="G21" s="55">
        <f t="shared" si="13"/>
        <v>6.7362428842504762E-2</v>
      </c>
      <c r="H21" s="55">
        <f t="shared" si="13"/>
        <v>8.8888888888893902E-4</v>
      </c>
      <c r="I21" s="55">
        <f t="shared" si="13"/>
        <v>-8.8809946714032417E-3</v>
      </c>
      <c r="J21" s="55">
        <f t="shared" si="13"/>
        <v>4.3010752688172005E-2</v>
      </c>
      <c r="K21" s="55">
        <f t="shared" si="13"/>
        <v>4.0378006872852312E-2</v>
      </c>
      <c r="L21" s="55">
        <f t="shared" si="13"/>
        <v>0.11643270024772923</v>
      </c>
      <c r="M21" s="55">
        <f t="shared" si="13"/>
        <v>0.10792882396449688</v>
      </c>
      <c r="N21" s="55">
        <f t="shared" si="13"/>
        <v>7.3690119598328385E-2</v>
      </c>
      <c r="O21" s="75">
        <f t="shared" si="13"/>
        <v>0.20486367813273954</v>
      </c>
      <c r="P21" s="57">
        <f t="shared" si="13"/>
        <v>6.3622046675216648E-2</v>
      </c>
      <c r="Q21" s="55">
        <f t="shared" si="13"/>
        <v>8.7808308747196806E-2</v>
      </c>
      <c r="R21" s="55">
        <f t="shared" si="13"/>
        <v>6.2737551910767575E-2</v>
      </c>
      <c r="S21" s="55">
        <f t="shared" si="13"/>
        <v>6.2865667176944307E-2</v>
      </c>
      <c r="T21" s="55">
        <f t="shared" si="13"/>
        <v>6.2980711532766076E-2</v>
      </c>
      <c r="U21" s="55">
        <f t="shared" si="13"/>
        <v>6.3083300388433461E-2</v>
      </c>
      <c r="V21" s="55">
        <f t="shared" si="13"/>
        <v>6.3174035677070473E-2</v>
      </c>
      <c r="W21" s="55">
        <f t="shared" si="13"/>
        <v>6.3253504516992853E-2</v>
      </c>
      <c r="X21" s="55">
        <f t="shared" si="13"/>
        <v>6.3322278114828379E-2</v>
      </c>
      <c r="Y21" s="55">
        <f t="shared" si="13"/>
        <v>6.3380910888309661E-2</v>
      </c>
      <c r="Z21" s="55">
        <f t="shared" si="13"/>
        <v>6.3429939788146372E-2</v>
      </c>
      <c r="AA21" s="55">
        <f t="shared" si="13"/>
        <v>5.379647052063441E-2</v>
      </c>
      <c r="AB21" s="55">
        <f t="shared" si="13"/>
        <v>4.2134933036555688E-2</v>
      </c>
      <c r="AC21" s="55">
        <f t="shared" si="13"/>
        <v>3.1443869821066617E-2</v>
      </c>
      <c r="AD21" s="55">
        <f t="shared" si="13"/>
        <v>2.4999999999999911E-2</v>
      </c>
      <c r="AE21" s="55">
        <f t="shared" si="13"/>
        <v>2.4999999999999911E-2</v>
      </c>
      <c r="AF21" s="55">
        <f t="shared" si="13"/>
        <v>2.4999999999999911E-2</v>
      </c>
      <c r="AG21" s="55">
        <f t="shared" si="13"/>
        <v>2.4999999999999911E-2</v>
      </c>
      <c r="AH21" s="55">
        <f t="shared" si="13"/>
        <v>2.4999999999999911E-2</v>
      </c>
    </row>
    <row r="22" spans="1:34" x14ac:dyDescent="0.25">
      <c r="A22" s="7" t="s">
        <v>44</v>
      </c>
      <c r="O22" s="144"/>
      <c r="P22" s="21"/>
      <c r="Q22" s="134"/>
      <c r="R22" s="134"/>
      <c r="S22" s="134"/>
      <c r="T22" s="134"/>
    </row>
    <row r="23" spans="1:34" x14ac:dyDescent="0.25">
      <c r="A23" t="s">
        <v>40</v>
      </c>
      <c r="C23" s="8">
        <f>508-178+42</f>
        <v>372</v>
      </c>
      <c r="D23" s="8">
        <v>347</v>
      </c>
      <c r="E23" s="8">
        <f>563-229+46</f>
        <v>380</v>
      </c>
      <c r="F23" s="8">
        <f>589-252+43</f>
        <v>380</v>
      </c>
      <c r="G23" s="8">
        <f>45+565-207</f>
        <v>403</v>
      </c>
      <c r="H23" s="8">
        <f>598-221+48</f>
        <v>425</v>
      </c>
      <c r="I23" s="100">
        <f>440+51</f>
        <v>491</v>
      </c>
      <c r="J23" s="100">
        <f>405+49+4-19</f>
        <v>439</v>
      </c>
      <c r="K23" s="100">
        <f>341+38-2-22</f>
        <v>355</v>
      </c>
      <c r="L23" s="100">
        <f>380+71+3-28</f>
        <v>426</v>
      </c>
      <c r="M23" s="100">
        <v>459.32612999999975</v>
      </c>
      <c r="N23" s="100">
        <v>451.46163999999993</v>
      </c>
      <c r="O23" s="148">
        <f>779.60391-O28-314.57359+91.74474+O17</f>
        <v>499.05373000000003</v>
      </c>
      <c r="P23" s="40">
        <v>441.80252999999999</v>
      </c>
      <c r="Q23" s="9">
        <f t="shared" ref="Q23:AE24" si="14">+P23*(1+Q$9)</f>
        <v>452.84759324999993</v>
      </c>
      <c r="R23" s="9">
        <f t="shared" si="14"/>
        <v>464.1687830812499</v>
      </c>
      <c r="S23" s="9">
        <f t="shared" si="14"/>
        <v>475.77300265828109</v>
      </c>
      <c r="T23" s="9">
        <f t="shared" si="14"/>
        <v>487.66732772473807</v>
      </c>
      <c r="U23" s="9">
        <f t="shared" si="14"/>
        <v>499.85901091785649</v>
      </c>
      <c r="V23" s="9">
        <f t="shared" si="14"/>
        <v>512.35548619080282</v>
      </c>
      <c r="W23" s="9">
        <f t="shared" si="14"/>
        <v>525.16437334557281</v>
      </c>
      <c r="X23" s="9">
        <f t="shared" si="14"/>
        <v>538.29348267921205</v>
      </c>
      <c r="Y23" s="9">
        <f t="shared" si="14"/>
        <v>551.75081974619229</v>
      </c>
      <c r="Z23" s="9">
        <f t="shared" si="14"/>
        <v>565.54459023984703</v>
      </c>
      <c r="AA23" s="9">
        <f t="shared" si="14"/>
        <v>579.6832049958432</v>
      </c>
      <c r="AB23" s="9">
        <f t="shared" si="14"/>
        <v>594.1752851207392</v>
      </c>
      <c r="AC23" s="9">
        <f t="shared" si="14"/>
        <v>609.02966724875762</v>
      </c>
      <c r="AD23" s="9">
        <f t="shared" si="14"/>
        <v>624.25540892997651</v>
      </c>
      <c r="AE23" s="9">
        <f t="shared" si="14"/>
        <v>639.8617941532259</v>
      </c>
      <c r="AF23" s="9">
        <f t="shared" ref="AD23:AH24" si="15">+AE23*(1+AF$9)</f>
        <v>655.85833900705654</v>
      </c>
      <c r="AG23" s="9">
        <f t="shared" si="15"/>
        <v>672.2547974822329</v>
      </c>
      <c r="AH23" s="9">
        <f t="shared" si="15"/>
        <v>689.06116741928872</v>
      </c>
    </row>
    <row r="24" spans="1:34" x14ac:dyDescent="0.25">
      <c r="A24" t="s">
        <v>8</v>
      </c>
      <c r="C24" s="8">
        <v>772</v>
      </c>
      <c r="D24" s="8">
        <v>733</v>
      </c>
      <c r="E24" s="8">
        <v>698</v>
      </c>
      <c r="F24" s="8">
        <v>729</v>
      </c>
      <c r="G24" s="8">
        <v>748</v>
      </c>
      <c r="H24" s="8">
        <v>731</v>
      </c>
      <c r="I24" s="100">
        <v>723</v>
      </c>
      <c r="J24" s="100">
        <f>737-31</f>
        <v>706</v>
      </c>
      <c r="K24" s="100">
        <f>776-33</f>
        <v>743</v>
      </c>
      <c r="L24" s="100">
        <f>763-33</f>
        <v>730</v>
      </c>
      <c r="M24" s="100">
        <v>722.10502999999994</v>
      </c>
      <c r="N24" s="100">
        <v>632.94849999999997</v>
      </c>
      <c r="O24" s="148">
        <f>775.16508-36.53486-6.68757</f>
        <v>731.94264999999996</v>
      </c>
      <c r="P24" s="40">
        <v>853.58046000000002</v>
      </c>
      <c r="Q24" s="9">
        <f t="shared" si="14"/>
        <v>874.91997149999997</v>
      </c>
      <c r="R24" s="9">
        <f t="shared" si="14"/>
        <v>896.79297078749994</v>
      </c>
      <c r="S24" s="9">
        <f t="shared" si="14"/>
        <v>919.21279505718735</v>
      </c>
      <c r="T24" s="9">
        <f t="shared" si="14"/>
        <v>942.19311493361693</v>
      </c>
      <c r="U24" s="9">
        <f t="shared" si="14"/>
        <v>965.74794280695721</v>
      </c>
      <c r="V24" s="9">
        <f t="shared" si="14"/>
        <v>989.89164137713101</v>
      </c>
      <c r="W24" s="9">
        <f t="shared" si="14"/>
        <v>1014.6389324115592</v>
      </c>
      <c r="X24" s="9">
        <f t="shared" si="14"/>
        <v>1040.004905721848</v>
      </c>
      <c r="Y24" s="9">
        <f t="shared" si="14"/>
        <v>1066.0050283648941</v>
      </c>
      <c r="Z24" s="9">
        <f t="shared" si="14"/>
        <v>1092.6551540740163</v>
      </c>
      <c r="AA24" s="9">
        <f t="shared" si="14"/>
        <v>1119.9715329258665</v>
      </c>
      <c r="AB24" s="9">
        <f t="shared" si="14"/>
        <v>1147.9708212490132</v>
      </c>
      <c r="AC24" s="9">
        <f t="shared" si="14"/>
        <v>1176.6700917802384</v>
      </c>
      <c r="AD24" s="9">
        <f t="shared" si="15"/>
        <v>1206.0868440747442</v>
      </c>
      <c r="AE24" s="9">
        <f t="shared" si="15"/>
        <v>1236.2390151766128</v>
      </c>
      <c r="AF24" s="9">
        <f t="shared" si="15"/>
        <v>1267.144990556028</v>
      </c>
      <c r="AG24" s="9">
        <f t="shared" si="15"/>
        <v>1298.8236153199286</v>
      </c>
      <c r="AH24" s="9">
        <f t="shared" si="15"/>
        <v>1331.2942057029268</v>
      </c>
    </row>
    <row r="25" spans="1:34" x14ac:dyDescent="0.25">
      <c r="A25" t="s">
        <v>30</v>
      </c>
      <c r="C25" s="8">
        <v>0</v>
      </c>
      <c r="D25" s="8">
        <v>0</v>
      </c>
      <c r="E25" s="8">
        <v>0</v>
      </c>
      <c r="F25" s="8">
        <v>0</v>
      </c>
      <c r="G25" s="8">
        <v>0</v>
      </c>
      <c r="H25" s="8">
        <v>0</v>
      </c>
      <c r="I25" s="100">
        <f t="shared" ref="I25:AH25" si="16">+H25*(1+I9)</f>
        <v>0</v>
      </c>
      <c r="J25" s="100">
        <f t="shared" si="16"/>
        <v>0</v>
      </c>
      <c r="K25" s="100">
        <f t="shared" si="16"/>
        <v>0</v>
      </c>
      <c r="L25" s="100">
        <f t="shared" si="16"/>
        <v>0</v>
      </c>
      <c r="M25" s="100">
        <f t="shared" si="16"/>
        <v>0</v>
      </c>
      <c r="N25" s="100">
        <f t="shared" si="16"/>
        <v>0</v>
      </c>
      <c r="O25" s="148">
        <f t="shared" si="16"/>
        <v>0</v>
      </c>
      <c r="P25" s="40">
        <f t="shared" si="16"/>
        <v>0</v>
      </c>
      <c r="Q25" s="9">
        <f t="shared" si="16"/>
        <v>0</v>
      </c>
      <c r="R25" s="9">
        <f t="shared" si="16"/>
        <v>0</v>
      </c>
      <c r="S25" s="9">
        <f t="shared" si="16"/>
        <v>0</v>
      </c>
      <c r="T25" s="9">
        <f t="shared" si="16"/>
        <v>0</v>
      </c>
      <c r="U25" s="9">
        <f t="shared" si="16"/>
        <v>0</v>
      </c>
      <c r="V25" s="9">
        <f t="shared" si="16"/>
        <v>0</v>
      </c>
      <c r="W25" s="9">
        <f t="shared" si="16"/>
        <v>0</v>
      </c>
      <c r="X25" s="9">
        <f t="shared" si="16"/>
        <v>0</v>
      </c>
      <c r="Y25" s="9">
        <f t="shared" si="16"/>
        <v>0</v>
      </c>
      <c r="Z25" s="9">
        <f t="shared" si="16"/>
        <v>0</v>
      </c>
      <c r="AA25" s="9">
        <f t="shared" si="16"/>
        <v>0</v>
      </c>
      <c r="AB25" s="9">
        <f t="shared" si="16"/>
        <v>0</v>
      </c>
      <c r="AC25" s="9">
        <f t="shared" si="16"/>
        <v>0</v>
      </c>
      <c r="AD25" s="9">
        <f t="shared" si="16"/>
        <v>0</v>
      </c>
      <c r="AE25" s="9">
        <f t="shared" si="16"/>
        <v>0</v>
      </c>
      <c r="AF25" s="9">
        <f t="shared" si="16"/>
        <v>0</v>
      </c>
      <c r="AG25" s="9">
        <f t="shared" si="16"/>
        <v>0</v>
      </c>
      <c r="AH25" s="9">
        <f t="shared" si="16"/>
        <v>0</v>
      </c>
    </row>
    <row r="26" spans="1:34" x14ac:dyDescent="0.25">
      <c r="A26" t="s">
        <v>80</v>
      </c>
      <c r="C26" s="8">
        <f>116+42-47</f>
        <v>111</v>
      </c>
      <c r="D26" s="8">
        <v>81</v>
      </c>
      <c r="E26" s="8">
        <f>98+46-57</f>
        <v>87</v>
      </c>
      <c r="F26" s="8">
        <f>111-13</f>
        <v>98</v>
      </c>
      <c r="G26" s="8">
        <f>118-3</f>
        <v>115</v>
      </c>
      <c r="H26" s="8">
        <v>111</v>
      </c>
      <c r="I26" s="100">
        <v>105</v>
      </c>
      <c r="J26" s="100">
        <v>120</v>
      </c>
      <c r="K26" s="100">
        <v>152</v>
      </c>
      <c r="L26" s="100">
        <v>114</v>
      </c>
      <c r="M26" s="100">
        <v>144.54635000000002</v>
      </c>
      <c r="N26" s="100">
        <v>111.78326999999999</v>
      </c>
      <c r="O26" s="148">
        <f>171.99479-14.525</f>
        <v>157.46978999999999</v>
      </c>
      <c r="P26" s="40">
        <v>205.07803999999999</v>
      </c>
      <c r="Q26" s="9">
        <f t="shared" ref="Q26:AH29" si="17">+P26*(1+Q$9)</f>
        <v>210.20499099999998</v>
      </c>
      <c r="R26" s="9">
        <f t="shared" si="17"/>
        <v>215.46011577499996</v>
      </c>
      <c r="S26" s="9">
        <f t="shared" si="17"/>
        <v>220.84661866937495</v>
      </c>
      <c r="T26" s="9">
        <f t="shared" si="17"/>
        <v>226.36778413610929</v>
      </c>
      <c r="U26" s="9">
        <f t="shared" si="17"/>
        <v>232.026978739512</v>
      </c>
      <c r="V26" s="9">
        <f t="shared" si="17"/>
        <v>237.82765320799979</v>
      </c>
      <c r="W26" s="9">
        <f t="shared" si="17"/>
        <v>243.77334453819975</v>
      </c>
      <c r="X26" s="9">
        <f t="shared" si="17"/>
        <v>249.86767815165473</v>
      </c>
      <c r="Y26" s="9">
        <f t="shared" si="17"/>
        <v>256.11437010544608</v>
      </c>
      <c r="Z26" s="9">
        <f t="shared" si="17"/>
        <v>262.5172293580822</v>
      </c>
      <c r="AA26" s="9">
        <f t="shared" si="17"/>
        <v>269.08016009203425</v>
      </c>
      <c r="AB26" s="9">
        <f t="shared" si="17"/>
        <v>275.80716409433506</v>
      </c>
      <c r="AC26" s="9">
        <f t="shared" si="17"/>
        <v>282.70234319669339</v>
      </c>
      <c r="AD26" s="9">
        <f t="shared" si="17"/>
        <v>289.76990177661071</v>
      </c>
      <c r="AE26" s="9">
        <f t="shared" si="17"/>
        <v>297.01414932102597</v>
      </c>
      <c r="AF26" s="9">
        <f t="shared" si="17"/>
        <v>304.43950305405161</v>
      </c>
      <c r="AG26" s="9">
        <f t="shared" si="17"/>
        <v>312.05049063040286</v>
      </c>
      <c r="AH26" s="9">
        <f t="shared" si="17"/>
        <v>319.85175289616291</v>
      </c>
    </row>
    <row r="27" spans="1:34" x14ac:dyDescent="0.25">
      <c r="A27" t="s">
        <v>11</v>
      </c>
      <c r="C27" s="8">
        <f>15-9</f>
        <v>6</v>
      </c>
      <c r="D27" s="8">
        <v>4</v>
      </c>
      <c r="E27" s="8">
        <v>8</v>
      </c>
      <c r="F27" s="8">
        <v>8</v>
      </c>
      <c r="G27" s="8">
        <v>13</v>
      </c>
      <c r="H27" s="8">
        <v>11</v>
      </c>
      <c r="I27" s="100">
        <v>19</v>
      </c>
      <c r="J27" s="100">
        <v>13</v>
      </c>
      <c r="K27" s="100">
        <v>11</v>
      </c>
      <c r="L27" s="100">
        <v>15</v>
      </c>
      <c r="M27" s="100">
        <v>34.178429999999992</v>
      </c>
      <c r="N27" s="100">
        <v>32.128859999999996</v>
      </c>
      <c r="O27" s="148">
        <v>30.137989999999999</v>
      </c>
      <c r="P27" s="40">
        <v>75.239140000000006</v>
      </c>
      <c r="Q27" s="9">
        <f t="shared" ref="Q27:AE29" si="18">+P27*(1+Q$9)</f>
        <v>77.120118500000004</v>
      </c>
      <c r="R27" s="9">
        <f t="shared" si="18"/>
        <v>79.048121462499992</v>
      </c>
      <c r="S27" s="9">
        <f t="shared" si="18"/>
        <v>81.024324499062487</v>
      </c>
      <c r="T27" s="9">
        <f t="shared" si="18"/>
        <v>83.049932611539049</v>
      </c>
      <c r="U27" s="9">
        <f t="shared" si="18"/>
        <v>85.126180926827516</v>
      </c>
      <c r="V27" s="9">
        <f t="shared" si="18"/>
        <v>87.254335449998194</v>
      </c>
      <c r="W27" s="9">
        <f t="shared" si="18"/>
        <v>89.435693836248149</v>
      </c>
      <c r="X27" s="9">
        <f t="shared" si="18"/>
        <v>91.671586182154343</v>
      </c>
      <c r="Y27" s="9">
        <f t="shared" si="18"/>
        <v>93.963375836708195</v>
      </c>
      <c r="Z27" s="9">
        <f t="shared" si="18"/>
        <v>96.312460232625895</v>
      </c>
      <c r="AA27" s="9">
        <f t="shared" si="18"/>
        <v>98.720271738441539</v>
      </c>
      <c r="AB27" s="9">
        <f t="shared" si="18"/>
        <v>101.18827853190257</v>
      </c>
      <c r="AC27" s="9">
        <f t="shared" si="18"/>
        <v>103.71798549520013</v>
      </c>
      <c r="AD27" s="9">
        <f t="shared" si="18"/>
        <v>106.31093513258011</v>
      </c>
      <c r="AE27" s="9">
        <f t="shared" si="18"/>
        <v>108.9687085108946</v>
      </c>
      <c r="AF27" s="9">
        <f t="shared" si="17"/>
        <v>111.69292622366696</v>
      </c>
      <c r="AG27" s="9">
        <f t="shared" si="17"/>
        <v>114.48524937925862</v>
      </c>
      <c r="AH27" s="9">
        <f t="shared" si="17"/>
        <v>117.34738061374007</v>
      </c>
    </row>
    <row r="28" spans="1:34" x14ac:dyDescent="0.25">
      <c r="A28" t="s">
        <v>13</v>
      </c>
      <c r="C28" s="8">
        <v>32</v>
      </c>
      <c r="D28" s="8">
        <v>29</v>
      </c>
      <c r="E28" s="8">
        <v>30</v>
      </c>
      <c r="F28" s="8">
        <v>30</v>
      </c>
      <c r="G28" s="8">
        <v>20</v>
      </c>
      <c r="H28" s="8">
        <v>22</v>
      </c>
      <c r="I28" s="100">
        <v>22</v>
      </c>
      <c r="J28" s="100">
        <v>19</v>
      </c>
      <c r="K28" s="100">
        <v>22</v>
      </c>
      <c r="L28" s="100">
        <v>28</v>
      </c>
      <c r="M28" s="100">
        <v>32.895189999999999</v>
      </c>
      <c r="N28" s="100">
        <v>44.509610000000002</v>
      </c>
      <c r="O28" s="148">
        <f>1.9+40.33459</f>
        <v>42.234589999999997</v>
      </c>
      <c r="P28" s="40">
        <f>38.95686+5.004</f>
        <v>43.960859999999997</v>
      </c>
      <c r="Q28" s="9">
        <f t="shared" si="18"/>
        <v>45.059881499999996</v>
      </c>
      <c r="R28" s="9">
        <f t="shared" si="18"/>
        <v>46.186378537499991</v>
      </c>
      <c r="S28" s="9">
        <f t="shared" si="18"/>
        <v>47.341038000937488</v>
      </c>
      <c r="T28" s="9">
        <f t="shared" si="18"/>
        <v>48.524563950960918</v>
      </c>
      <c r="U28" s="9">
        <f t="shared" si="18"/>
        <v>49.737678049734939</v>
      </c>
      <c r="V28" s="9">
        <f t="shared" si="18"/>
        <v>50.981120000978308</v>
      </c>
      <c r="W28" s="9">
        <f t="shared" si="18"/>
        <v>52.255648001002761</v>
      </c>
      <c r="X28" s="9">
        <f t="shared" si="18"/>
        <v>53.562039201027822</v>
      </c>
      <c r="Y28" s="9">
        <f t="shared" si="18"/>
        <v>54.901090181053512</v>
      </c>
      <c r="Z28" s="9">
        <f t="shared" si="18"/>
        <v>56.273617435579844</v>
      </c>
      <c r="AA28" s="9">
        <f t="shared" si="18"/>
        <v>57.680457871469336</v>
      </c>
      <c r="AB28" s="9">
        <f t="shared" si="17"/>
        <v>59.122469318256066</v>
      </c>
      <c r="AC28" s="9">
        <f t="shared" si="17"/>
        <v>60.600531051212464</v>
      </c>
      <c r="AD28" s="9">
        <f t="shared" si="17"/>
        <v>62.115544327492771</v>
      </c>
      <c r="AE28" s="9">
        <f t="shared" si="17"/>
        <v>63.668432935680087</v>
      </c>
      <c r="AF28" s="9">
        <f t="shared" si="17"/>
        <v>65.260143759072079</v>
      </c>
      <c r="AG28" s="9">
        <f t="shared" si="17"/>
        <v>66.891647353048882</v>
      </c>
      <c r="AH28" s="9">
        <f t="shared" si="17"/>
        <v>68.563938536875099</v>
      </c>
    </row>
    <row r="29" spans="1:34" x14ac:dyDescent="0.25">
      <c r="A29" t="s">
        <v>14</v>
      </c>
      <c r="C29" s="8">
        <v>42</v>
      </c>
      <c r="D29" s="8">
        <v>46</v>
      </c>
      <c r="E29" s="8">
        <v>45</v>
      </c>
      <c r="F29" s="8">
        <v>50</v>
      </c>
      <c r="G29" s="8">
        <v>42</v>
      </c>
      <c r="H29" s="8">
        <v>39</v>
      </c>
      <c r="I29" s="100">
        <v>31</v>
      </c>
      <c r="J29" s="100">
        <v>31</v>
      </c>
      <c r="K29" s="100">
        <v>33</v>
      </c>
      <c r="L29" s="100">
        <v>33</v>
      </c>
      <c r="M29" s="100">
        <v>52.671199999999999</v>
      </c>
      <c r="N29" s="100">
        <v>47.034960000000005</v>
      </c>
      <c r="O29" s="148">
        <f>6.68757+36.53486+4.35984</f>
        <v>47.582270000000001</v>
      </c>
      <c r="P29" s="40">
        <f>6.5+43.125</f>
        <v>49.625</v>
      </c>
      <c r="Q29" s="9">
        <f t="shared" si="18"/>
        <v>50.865624999999994</v>
      </c>
      <c r="R29" s="9">
        <f t="shared" si="18"/>
        <v>52.137265624999991</v>
      </c>
      <c r="S29" s="9">
        <f t="shared" si="18"/>
        <v>53.440697265624983</v>
      </c>
      <c r="T29" s="9">
        <f t="shared" si="18"/>
        <v>54.776714697265604</v>
      </c>
      <c r="U29" s="9">
        <f t="shared" si="18"/>
        <v>56.14613256469724</v>
      </c>
      <c r="V29" s="9">
        <f t="shared" si="18"/>
        <v>57.549785878814667</v>
      </c>
      <c r="W29" s="9">
        <f t="shared" si="18"/>
        <v>58.988530525785031</v>
      </c>
      <c r="X29" s="9">
        <f t="shared" si="18"/>
        <v>60.463243788929653</v>
      </c>
      <c r="Y29" s="9">
        <f t="shared" si="18"/>
        <v>61.974824883652886</v>
      </c>
      <c r="Z29" s="9">
        <f t="shared" si="18"/>
        <v>63.524195505744203</v>
      </c>
      <c r="AA29" s="9">
        <f t="shared" si="18"/>
        <v>65.112300393387798</v>
      </c>
      <c r="AB29" s="9">
        <f t="shared" si="18"/>
        <v>66.740107903222494</v>
      </c>
      <c r="AC29" s="9">
        <f t="shared" si="18"/>
        <v>68.408610600803044</v>
      </c>
      <c r="AD29" s="9">
        <f t="shared" si="17"/>
        <v>70.118825865823112</v>
      </c>
      <c r="AE29" s="9">
        <f t="shared" si="17"/>
        <v>71.871796512468677</v>
      </c>
      <c r="AF29" s="9">
        <f t="shared" si="17"/>
        <v>73.668591425280383</v>
      </c>
      <c r="AG29" s="9">
        <f t="shared" si="17"/>
        <v>75.51030621091239</v>
      </c>
      <c r="AH29" s="9">
        <f t="shared" si="17"/>
        <v>77.398063866185197</v>
      </c>
    </row>
    <row r="30" spans="1:34" s="6" customFormat="1" x14ac:dyDescent="0.25">
      <c r="A30" s="6" t="s">
        <v>45</v>
      </c>
      <c r="C30" s="12">
        <f t="shared" ref="C30:AH30" si="19">SUM(C23:C29)</f>
        <v>1335</v>
      </c>
      <c r="D30" s="12">
        <f t="shared" si="19"/>
        <v>1240</v>
      </c>
      <c r="E30" s="12">
        <f t="shared" si="19"/>
        <v>1248</v>
      </c>
      <c r="F30" s="12">
        <f t="shared" si="19"/>
        <v>1295</v>
      </c>
      <c r="G30" s="12">
        <f t="shared" si="19"/>
        <v>1341</v>
      </c>
      <c r="H30" s="12">
        <f t="shared" si="19"/>
        <v>1339</v>
      </c>
      <c r="I30" s="12">
        <f t="shared" si="19"/>
        <v>1391</v>
      </c>
      <c r="J30" s="12">
        <f t="shared" si="19"/>
        <v>1328</v>
      </c>
      <c r="K30" s="12">
        <f t="shared" si="19"/>
        <v>1316</v>
      </c>
      <c r="L30" s="12">
        <f t="shared" si="19"/>
        <v>1346</v>
      </c>
      <c r="M30" s="12">
        <f t="shared" si="19"/>
        <v>1445.7223299999996</v>
      </c>
      <c r="N30" s="12">
        <f t="shared" si="19"/>
        <v>1319.8668399999999</v>
      </c>
      <c r="O30" s="77">
        <f t="shared" si="19"/>
        <v>1508.4210200000002</v>
      </c>
      <c r="P30" s="31">
        <f t="shared" si="19"/>
        <v>1669.2860299999998</v>
      </c>
      <c r="Q30" s="12">
        <f t="shared" si="19"/>
        <v>1711.0181807500001</v>
      </c>
      <c r="R30" s="12">
        <f t="shared" si="19"/>
        <v>1753.7936352687498</v>
      </c>
      <c r="S30" s="12">
        <f t="shared" si="19"/>
        <v>1797.6384761504683</v>
      </c>
      <c r="T30" s="12">
        <f t="shared" si="19"/>
        <v>1842.57943805423</v>
      </c>
      <c r="U30" s="12">
        <f t="shared" si="19"/>
        <v>1888.6439240055854</v>
      </c>
      <c r="V30" s="12">
        <f t="shared" si="19"/>
        <v>1935.8600221057247</v>
      </c>
      <c r="W30" s="12">
        <f t="shared" si="19"/>
        <v>1984.2565226583679</v>
      </c>
      <c r="X30" s="12">
        <f t="shared" si="19"/>
        <v>2033.8629357248267</v>
      </c>
      <c r="Y30" s="12">
        <f t="shared" si="19"/>
        <v>2084.7095091179467</v>
      </c>
      <c r="Z30" s="12">
        <f t="shared" si="19"/>
        <v>2136.8272468458954</v>
      </c>
      <c r="AA30" s="12">
        <f t="shared" si="19"/>
        <v>2190.2479280170423</v>
      </c>
      <c r="AB30" s="12">
        <f t="shared" si="19"/>
        <v>2245.0041262174686</v>
      </c>
      <c r="AC30" s="12">
        <f t="shared" si="19"/>
        <v>2301.1292293729048</v>
      </c>
      <c r="AD30" s="12">
        <f t="shared" si="19"/>
        <v>2358.6574601072275</v>
      </c>
      <c r="AE30" s="12">
        <f t="shared" si="19"/>
        <v>2417.6238966099077</v>
      </c>
      <c r="AF30" s="12">
        <f t="shared" si="19"/>
        <v>2478.0644940251555</v>
      </c>
      <c r="AG30" s="12">
        <f t="shared" si="19"/>
        <v>2540.0161063757841</v>
      </c>
      <c r="AH30" s="12">
        <f t="shared" si="19"/>
        <v>2603.5165090351784</v>
      </c>
    </row>
    <row r="31" spans="1:34" x14ac:dyDescent="0.25">
      <c r="A31" s="56" t="s">
        <v>53</v>
      </c>
      <c r="D31" s="55">
        <f>+D30/C30-1</f>
        <v>-7.1161048689138529E-2</v>
      </c>
      <c r="E31" s="55">
        <f t="shared" ref="E31:AH31" si="20">+E30/D30-1</f>
        <v>6.4516129032257119E-3</v>
      </c>
      <c r="F31" s="55">
        <f t="shared" si="20"/>
        <v>3.7660256410256387E-2</v>
      </c>
      <c r="G31" s="55">
        <f t="shared" si="20"/>
        <v>3.5521235521235539E-2</v>
      </c>
      <c r="H31" s="55">
        <f t="shared" si="20"/>
        <v>-1.491424310216205E-3</v>
      </c>
      <c r="I31" s="55">
        <f t="shared" si="20"/>
        <v>3.8834951456310662E-2</v>
      </c>
      <c r="J31" s="55">
        <f t="shared" si="20"/>
        <v>-4.5291157440690122E-2</v>
      </c>
      <c r="K31" s="55">
        <f t="shared" si="20"/>
        <v>-9.0361445783132543E-3</v>
      </c>
      <c r="L31" s="55">
        <f t="shared" si="20"/>
        <v>2.2796352583586588E-2</v>
      </c>
      <c r="M31" s="55">
        <f t="shared" si="20"/>
        <v>7.4087912332837735E-2</v>
      </c>
      <c r="N31" s="55">
        <f t="shared" si="20"/>
        <v>-8.7053708300956933E-2</v>
      </c>
      <c r="O31" s="75">
        <f t="shared" si="20"/>
        <v>0.14285848714859783</v>
      </c>
      <c r="P31" s="57">
        <f t="shared" si="20"/>
        <v>0.10664463559384729</v>
      </c>
      <c r="Q31" s="55">
        <f t="shared" si="20"/>
        <v>2.5000000000000133E-2</v>
      </c>
      <c r="R31" s="55">
        <f t="shared" si="20"/>
        <v>2.4999999999999911E-2</v>
      </c>
      <c r="S31" s="55">
        <f t="shared" si="20"/>
        <v>2.4999999999999911E-2</v>
      </c>
      <c r="T31" s="55">
        <f t="shared" si="20"/>
        <v>2.4999999999999911E-2</v>
      </c>
      <c r="U31" s="55">
        <f t="shared" si="20"/>
        <v>2.4999999999999911E-2</v>
      </c>
      <c r="V31" s="55">
        <f t="shared" si="20"/>
        <v>2.4999999999999911E-2</v>
      </c>
      <c r="W31" s="55">
        <f t="shared" si="20"/>
        <v>2.4999999999999911E-2</v>
      </c>
      <c r="X31" s="55">
        <f t="shared" si="20"/>
        <v>2.4999999999999689E-2</v>
      </c>
      <c r="Y31" s="55">
        <f t="shared" si="20"/>
        <v>2.4999999999999689E-2</v>
      </c>
      <c r="Z31" s="55">
        <f t="shared" si="20"/>
        <v>2.4999999999999911E-2</v>
      </c>
      <c r="AA31" s="55">
        <f t="shared" si="20"/>
        <v>2.4999999999999689E-2</v>
      </c>
      <c r="AB31" s="55">
        <f t="shared" si="20"/>
        <v>2.5000000000000133E-2</v>
      </c>
      <c r="AC31" s="55">
        <f t="shared" si="20"/>
        <v>2.4999999999999689E-2</v>
      </c>
      <c r="AD31" s="55">
        <f t="shared" si="20"/>
        <v>2.5000000000000133E-2</v>
      </c>
      <c r="AE31" s="55">
        <f t="shared" si="20"/>
        <v>2.4999999999999689E-2</v>
      </c>
      <c r="AF31" s="55">
        <f t="shared" si="20"/>
        <v>2.5000000000000133E-2</v>
      </c>
      <c r="AG31" s="55">
        <f t="shared" si="20"/>
        <v>2.4999999999999911E-2</v>
      </c>
      <c r="AH31" s="55">
        <f t="shared" si="20"/>
        <v>2.4999999999999911E-2</v>
      </c>
    </row>
    <row r="32" spans="1:34" x14ac:dyDescent="0.25">
      <c r="A32" s="42" t="s">
        <v>47</v>
      </c>
      <c r="C32" s="8">
        <v>21</v>
      </c>
      <c r="D32" s="8">
        <v>0</v>
      </c>
      <c r="E32" s="8">
        <v>0</v>
      </c>
      <c r="F32" s="2">
        <v>0</v>
      </c>
      <c r="O32" s="144"/>
      <c r="P32" s="21"/>
    </row>
    <row r="33" spans="1:34" x14ac:dyDescent="0.25">
      <c r="A33" s="56"/>
      <c r="D33" s="55"/>
      <c r="E33" s="55"/>
      <c r="F33" s="55"/>
      <c r="G33" s="55"/>
      <c r="H33" s="55"/>
      <c r="I33" s="55"/>
      <c r="J33" s="55"/>
      <c r="K33" s="55"/>
      <c r="L33" s="55"/>
      <c r="M33" s="55"/>
      <c r="N33" s="55"/>
      <c r="O33" s="143"/>
      <c r="P33" s="57"/>
      <c r="Q33" s="55"/>
      <c r="R33" s="55"/>
      <c r="S33" s="55"/>
      <c r="T33" s="55"/>
      <c r="U33" s="55"/>
      <c r="V33" s="55"/>
      <c r="W33" s="55"/>
      <c r="X33" s="55"/>
      <c r="Y33" s="55"/>
      <c r="Z33" s="55"/>
      <c r="AA33" s="55"/>
      <c r="AB33" s="55"/>
      <c r="AC33" s="55"/>
      <c r="AD33" s="55"/>
      <c r="AE33" s="55"/>
      <c r="AF33" s="55"/>
      <c r="AG33" s="55"/>
      <c r="AH33" s="55"/>
    </row>
    <row r="34" spans="1:34" x14ac:dyDescent="0.25">
      <c r="A34" s="81" t="s">
        <v>59</v>
      </c>
      <c r="B34" s="82"/>
      <c r="C34" s="83">
        <f t="shared" ref="C34:AH34" si="21">+C20-C30+C32</f>
        <v>-587</v>
      </c>
      <c r="D34" s="83">
        <f t="shared" si="21"/>
        <v>-385</v>
      </c>
      <c r="E34" s="83">
        <f t="shared" si="21"/>
        <v>-254</v>
      </c>
      <c r="F34" s="83">
        <f t="shared" si="21"/>
        <v>-241</v>
      </c>
      <c r="G34" s="83">
        <f t="shared" si="21"/>
        <v>-216</v>
      </c>
      <c r="H34" s="83">
        <f t="shared" si="21"/>
        <v>-213</v>
      </c>
      <c r="I34" s="83">
        <f t="shared" si="21"/>
        <v>-275</v>
      </c>
      <c r="J34" s="83">
        <f t="shared" si="21"/>
        <v>-164</v>
      </c>
      <c r="K34" s="83">
        <f t="shared" si="21"/>
        <v>-105</v>
      </c>
      <c r="L34" s="83">
        <f t="shared" si="21"/>
        <v>6</v>
      </c>
      <c r="M34" s="83">
        <f t="shared" si="21"/>
        <v>52.197440000000142</v>
      </c>
      <c r="N34" s="83">
        <f t="shared" si="21"/>
        <v>288.43481700000029</v>
      </c>
      <c r="O34" s="84">
        <f>+O20-O30+O32</f>
        <v>429.3632299999997</v>
      </c>
      <c r="P34" s="85">
        <f t="shared" si="21"/>
        <v>391.78402000000006</v>
      </c>
      <c r="Q34" s="83">
        <f t="shared" si="21"/>
        <v>531.03094454999996</v>
      </c>
      <c r="R34" s="83">
        <f t="shared" si="21"/>
        <v>628.91616341625013</v>
      </c>
      <c r="S34" s="83">
        <f t="shared" si="21"/>
        <v>734.86196371790675</v>
      </c>
      <c r="T34" s="83">
        <f t="shared" si="21"/>
        <v>849.4196814740983</v>
      </c>
      <c r="U34" s="83">
        <f t="shared" si="21"/>
        <v>973.17538462534708</v>
      </c>
      <c r="V34" s="83">
        <f t="shared" si="21"/>
        <v>1106.7519616299871</v>
      </c>
      <c r="W34" s="83">
        <f t="shared" si="21"/>
        <v>1250.8113319340273</v>
      </c>
      <c r="X34" s="83">
        <f t="shared" si="21"/>
        <v>1406.0567852764095</v>
      </c>
      <c r="Y34" s="83">
        <f t="shared" si="21"/>
        <v>1573.2354571830078</v>
      </c>
      <c r="Z34" s="83">
        <f t="shared" si="21"/>
        <v>1753.1409484158821</v>
      </c>
      <c r="AA34" s="83">
        <f t="shared" si="21"/>
        <v>1908.9868265873406</v>
      </c>
      <c r="AB34" s="83">
        <f t="shared" si="21"/>
        <v>2026.9516102732919</v>
      </c>
      <c r="AC34" s="83">
        <f t="shared" si="21"/>
        <v>2105.1533271774297</v>
      </c>
      <c r="AD34" s="83">
        <f t="shared" si="21"/>
        <v>2157.782160356865</v>
      </c>
      <c r="AE34" s="83">
        <f t="shared" si="21"/>
        <v>2211.7267143657868</v>
      </c>
      <c r="AF34" s="83">
        <f t="shared" si="21"/>
        <v>2267.0198822249308</v>
      </c>
      <c r="AG34" s="83">
        <f t="shared" si="21"/>
        <v>2323.6953792805543</v>
      </c>
      <c r="AH34" s="83">
        <f t="shared" si="21"/>
        <v>2381.7877637625679</v>
      </c>
    </row>
    <row r="35" spans="1:34" x14ac:dyDescent="0.25">
      <c r="A35" s="56"/>
      <c r="D35" s="55"/>
      <c r="E35" s="55"/>
      <c r="F35" s="55"/>
      <c r="G35" s="55"/>
      <c r="H35" s="55"/>
      <c r="I35" s="55"/>
      <c r="J35" s="55"/>
      <c r="K35" s="55"/>
      <c r="L35" s="55"/>
      <c r="M35" s="55"/>
      <c r="N35" s="140"/>
      <c r="O35" s="145"/>
      <c r="P35" s="57"/>
      <c r="Q35" s="55"/>
      <c r="R35" s="55"/>
      <c r="S35" s="55"/>
      <c r="T35" s="55"/>
      <c r="U35" s="55"/>
      <c r="V35" s="55"/>
      <c r="W35" s="55"/>
      <c r="X35" s="55"/>
      <c r="Y35" s="55"/>
      <c r="Z35" s="55"/>
      <c r="AA35" s="55"/>
      <c r="AB35" s="55"/>
      <c r="AC35" s="55"/>
      <c r="AD35" s="55"/>
      <c r="AE35" s="55"/>
      <c r="AF35" s="55"/>
      <c r="AG35" s="55"/>
      <c r="AH35" s="55"/>
    </row>
    <row r="36" spans="1:34" x14ac:dyDescent="0.25">
      <c r="A36" t="s">
        <v>23</v>
      </c>
      <c r="C36" s="8">
        <v>-5</v>
      </c>
      <c r="D36" s="8">
        <v>-3</v>
      </c>
      <c r="E36" s="8">
        <v>-35</v>
      </c>
      <c r="F36" s="8">
        <v>-5</v>
      </c>
      <c r="G36" s="63">
        <v>-4</v>
      </c>
      <c r="H36" s="63">
        <v>-16</v>
      </c>
      <c r="I36" s="63">
        <v>-17</v>
      </c>
      <c r="J36" s="116">
        <v>-3</v>
      </c>
      <c r="K36" s="63">
        <v>0</v>
      </c>
      <c r="L36" s="63">
        <v>-27</v>
      </c>
      <c r="M36" s="63">
        <v>0</v>
      </c>
      <c r="N36" s="63">
        <v>0</v>
      </c>
      <c r="O36" s="148">
        <v>-87.489000000000004</v>
      </c>
      <c r="P36" s="41">
        <v>-179</v>
      </c>
      <c r="Q36" s="15">
        <f>+Q34*-0.25</f>
        <v>-132.75773613749999</v>
      </c>
      <c r="R36" s="15">
        <f t="shared" ref="R36:AH36" si="22">+R34*-0.25</f>
        <v>-157.22904085406253</v>
      </c>
      <c r="S36" s="15">
        <f t="shared" si="22"/>
        <v>-183.71549092947669</v>
      </c>
      <c r="T36" s="15">
        <f t="shared" si="22"/>
        <v>-212.35492036852457</v>
      </c>
      <c r="U36" s="15">
        <f t="shared" si="22"/>
        <v>-243.29384615633677</v>
      </c>
      <c r="V36" s="15">
        <f t="shared" si="22"/>
        <v>-276.68799040749678</v>
      </c>
      <c r="W36" s="15">
        <f t="shared" si="22"/>
        <v>-312.70283298350682</v>
      </c>
      <c r="X36" s="15">
        <f t="shared" si="22"/>
        <v>-351.51419631910238</v>
      </c>
      <c r="Y36" s="15">
        <f t="shared" si="22"/>
        <v>-393.30886429575196</v>
      </c>
      <c r="Z36" s="15">
        <f t="shared" si="22"/>
        <v>-438.28523710397053</v>
      </c>
      <c r="AA36" s="15">
        <f t="shared" si="22"/>
        <v>-477.24670664683515</v>
      </c>
      <c r="AB36" s="15">
        <f t="shared" si="22"/>
        <v>-506.73790256832297</v>
      </c>
      <c r="AC36" s="15">
        <f t="shared" si="22"/>
        <v>-526.28833179435742</v>
      </c>
      <c r="AD36" s="15">
        <f>+AD34*-0.25</f>
        <v>-539.44554008921625</v>
      </c>
      <c r="AE36" s="15">
        <f t="shared" si="22"/>
        <v>-552.93167859144671</v>
      </c>
      <c r="AF36" s="15">
        <f t="shared" si="22"/>
        <v>-566.75497055623271</v>
      </c>
      <c r="AG36" s="15">
        <f t="shared" si="22"/>
        <v>-580.92384482013858</v>
      </c>
      <c r="AH36" s="15">
        <f t="shared" si="22"/>
        <v>-595.44694094064198</v>
      </c>
    </row>
    <row r="37" spans="1:34" x14ac:dyDescent="0.25">
      <c r="A37" t="s">
        <v>42</v>
      </c>
      <c r="C37" s="8">
        <f>10+15+2+13-11</f>
        <v>29</v>
      </c>
      <c r="D37" s="10">
        <v>26</v>
      </c>
      <c r="E37" s="10">
        <v>26</v>
      </c>
      <c r="F37" s="112">
        <v>47</v>
      </c>
      <c r="G37" s="112">
        <v>36</v>
      </c>
      <c r="H37" s="113">
        <v>-44</v>
      </c>
      <c r="I37" s="54">
        <v>-59</v>
      </c>
      <c r="J37" s="102">
        <v>8</v>
      </c>
      <c r="K37" s="43">
        <v>-56</v>
      </c>
      <c r="L37" s="43">
        <v>50</v>
      </c>
      <c r="M37" s="63">
        <v>0</v>
      </c>
      <c r="N37" s="63">
        <v>45</v>
      </c>
      <c r="O37" s="148">
        <v>46</v>
      </c>
      <c r="P37" s="21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</row>
    <row r="38" spans="1:34" x14ac:dyDescent="0.25">
      <c r="C38" s="8"/>
      <c r="D38" s="10"/>
      <c r="E38" s="10"/>
      <c r="F38" s="10"/>
      <c r="G38" s="10"/>
      <c r="H38" s="11"/>
      <c r="O38" s="144"/>
      <c r="P38" s="21"/>
    </row>
    <row r="39" spans="1:34" x14ac:dyDescent="0.25">
      <c r="A39" s="81" t="s">
        <v>60</v>
      </c>
      <c r="B39" s="82"/>
      <c r="C39" s="83">
        <f t="shared" ref="C39:AC39" si="23">SUM(C34:C37)</f>
        <v>-563</v>
      </c>
      <c r="D39" s="83">
        <f t="shared" si="23"/>
        <v>-362</v>
      </c>
      <c r="E39" s="83">
        <f t="shared" si="23"/>
        <v>-263</v>
      </c>
      <c r="F39" s="83">
        <f t="shared" si="23"/>
        <v>-199</v>
      </c>
      <c r="G39" s="83">
        <f t="shared" si="23"/>
        <v>-184</v>
      </c>
      <c r="H39" s="83">
        <f t="shared" si="23"/>
        <v>-273</v>
      </c>
      <c r="I39" s="83">
        <f t="shared" si="23"/>
        <v>-351</v>
      </c>
      <c r="J39" s="83">
        <f t="shared" si="23"/>
        <v>-159</v>
      </c>
      <c r="K39" s="83">
        <f t="shared" si="23"/>
        <v>-161</v>
      </c>
      <c r="L39" s="83">
        <f t="shared" si="23"/>
        <v>29</v>
      </c>
      <c r="M39" s="83">
        <f t="shared" si="23"/>
        <v>52.197440000000142</v>
      </c>
      <c r="N39" s="83">
        <f t="shared" si="23"/>
        <v>333.43481700000029</v>
      </c>
      <c r="O39" s="84">
        <f>SUM(O34:O37)</f>
        <v>387.87422999999967</v>
      </c>
      <c r="P39" s="85">
        <f t="shared" si="23"/>
        <v>212.78402000000006</v>
      </c>
      <c r="Q39" s="83">
        <f t="shared" si="23"/>
        <v>398.27320841249997</v>
      </c>
      <c r="R39" s="83">
        <f t="shared" si="23"/>
        <v>471.6871225621876</v>
      </c>
      <c r="S39" s="83">
        <f t="shared" si="23"/>
        <v>551.14647278843006</v>
      </c>
      <c r="T39" s="83">
        <f t="shared" si="23"/>
        <v>637.06476110557378</v>
      </c>
      <c r="U39" s="83">
        <f t="shared" si="23"/>
        <v>729.88153846901037</v>
      </c>
      <c r="V39" s="83">
        <f t="shared" si="23"/>
        <v>830.06397122249041</v>
      </c>
      <c r="W39" s="83">
        <f t="shared" si="23"/>
        <v>938.10849895052047</v>
      </c>
      <c r="X39" s="83">
        <f t="shared" si="23"/>
        <v>1054.5425889573071</v>
      </c>
      <c r="Y39" s="83">
        <f t="shared" si="23"/>
        <v>1179.926592887256</v>
      </c>
      <c r="Z39" s="83">
        <f t="shared" si="23"/>
        <v>1314.8557113119116</v>
      </c>
      <c r="AA39" s="83">
        <f t="shared" si="23"/>
        <v>1431.7401199405053</v>
      </c>
      <c r="AB39" s="83">
        <f t="shared" si="23"/>
        <v>1520.2137077049688</v>
      </c>
      <c r="AC39" s="83">
        <f t="shared" si="23"/>
        <v>1578.8649953830723</v>
      </c>
      <c r="AD39" s="83">
        <f t="shared" ref="AD39:AF39" si="24">SUM(AD34:AD37)</f>
        <v>1618.3366202676489</v>
      </c>
      <c r="AE39" s="83">
        <f t="shared" si="24"/>
        <v>1658.7950357743402</v>
      </c>
      <c r="AF39" s="83">
        <f t="shared" si="24"/>
        <v>1700.264911668698</v>
      </c>
      <c r="AG39" s="83">
        <f>SUM(AG34:AG37)</f>
        <v>1742.7715344604158</v>
      </c>
      <c r="AH39" s="83">
        <f t="shared" ref="AH39" si="25">SUM(AH34:AH37)</f>
        <v>1786.3408228219259</v>
      </c>
    </row>
    <row r="40" spans="1:34" x14ac:dyDescent="0.25">
      <c r="A40" s="56"/>
      <c r="D40" s="55"/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143"/>
      <c r="P40" s="57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/>
      <c r="AB40" s="55"/>
      <c r="AC40" s="55"/>
      <c r="AD40" s="55"/>
      <c r="AE40" s="55"/>
      <c r="AF40" s="55"/>
      <c r="AG40" s="55"/>
      <c r="AH40" s="55"/>
    </row>
    <row r="41" spans="1:34" x14ac:dyDescent="0.25">
      <c r="A41" t="s">
        <v>72</v>
      </c>
      <c r="C41" s="86">
        <v>178</v>
      </c>
      <c r="D41" s="86">
        <v>207</v>
      </c>
      <c r="E41" s="86">
        <v>229</v>
      </c>
      <c r="F41" s="86">
        <v>252</v>
      </c>
      <c r="G41" s="86">
        <v>207</v>
      </c>
      <c r="H41" s="86">
        <v>221</v>
      </c>
      <c r="I41" s="86">
        <v>238</v>
      </c>
      <c r="J41" s="117">
        <v>257</v>
      </c>
      <c r="K41" s="117">
        <v>271</v>
      </c>
      <c r="L41" s="117">
        <v>285</v>
      </c>
      <c r="M41" s="117">
        <v>295.43071000000003</v>
      </c>
      <c r="N41" s="117">
        <v>306</v>
      </c>
      <c r="O41" s="93">
        <v>314.17739999999998</v>
      </c>
      <c r="P41" s="88">
        <f t="shared" ref="P41:AH41" si="26">MAX((O45+(P30-P20)/2)*P11,0)</f>
        <v>310.45685645000009</v>
      </c>
      <c r="Q41" s="89">
        <f t="shared" si="26"/>
        <v>310.48394176068757</v>
      </c>
      <c r="R41" s="89">
        <f t="shared" si="26"/>
        <v>309.23403506133337</v>
      </c>
      <c r="S41" s="89">
        <f t="shared" si="26"/>
        <v>305.86252194592475</v>
      </c>
      <c r="T41" s="89">
        <f t="shared" si="26"/>
        <v>298.34149099562921</v>
      </c>
      <c r="U41" s="89">
        <f t="shared" si="26"/>
        <v>286.52655927677938</v>
      </c>
      <c r="V41" s="89">
        <f t="shared" si="26"/>
        <v>270.26805307694929</v>
      </c>
      <c r="W41" s="89">
        <f t="shared" si="26"/>
        <v>249.41080003450949</v>
      </c>
      <c r="X41" s="89">
        <f t="shared" si="26"/>
        <v>223.79391241881734</v>
      </c>
      <c r="Y41" s="89">
        <f t="shared" si="26"/>
        <v>197.15056115394665</v>
      </c>
      <c r="Z41" s="89">
        <f t="shared" si="26"/>
        <v>169.43449015891574</v>
      </c>
      <c r="AA41" s="89">
        <f t="shared" si="26"/>
        <v>141.20861556879427</v>
      </c>
      <c r="AB41" s="89">
        <f t="shared" si="26"/>
        <v>112.68096783988337</v>
      </c>
      <c r="AC41" s="89">
        <f t="shared" si="26"/>
        <v>83.872321394987324</v>
      </c>
      <c r="AD41" s="89">
        <f t="shared" si="26"/>
        <v>54.542953301158597</v>
      </c>
      <c r="AE41" s="89">
        <f t="shared" si="26"/>
        <v>24.239000280801264</v>
      </c>
      <c r="AF41" s="89">
        <f t="shared" si="26"/>
        <v>0</v>
      </c>
      <c r="AG41" s="89">
        <f t="shared" si="26"/>
        <v>0</v>
      </c>
      <c r="AH41" s="89">
        <f t="shared" si="26"/>
        <v>0</v>
      </c>
    </row>
    <row r="42" spans="1:34" x14ac:dyDescent="0.25">
      <c r="A42" t="s">
        <v>78</v>
      </c>
      <c r="C42" s="86"/>
      <c r="D42" s="86"/>
      <c r="E42" s="86"/>
      <c r="F42" s="86"/>
      <c r="G42" s="86"/>
      <c r="H42" s="86"/>
      <c r="I42" s="86"/>
      <c r="J42" s="117"/>
      <c r="K42" s="117"/>
      <c r="L42" s="117"/>
      <c r="M42" s="117"/>
      <c r="N42" s="117">
        <v>-60</v>
      </c>
      <c r="O42" s="93">
        <f>-15*12</f>
        <v>-180</v>
      </c>
      <c r="P42" s="88">
        <f>-20*12</f>
        <v>-240</v>
      </c>
      <c r="Q42" s="89">
        <f>-25*12</f>
        <v>-300</v>
      </c>
      <c r="R42" s="89">
        <f>-30*12</f>
        <v>-360</v>
      </c>
      <c r="S42" s="89">
        <f>-40*12</f>
        <v>-480</v>
      </c>
      <c r="T42" s="89">
        <f>-50*12</f>
        <v>-600</v>
      </c>
      <c r="U42" s="89">
        <f>-60*12</f>
        <v>-720</v>
      </c>
      <c r="V42" s="89">
        <f>-70*12</f>
        <v>-840</v>
      </c>
      <c r="W42" s="89">
        <f>-80*12</f>
        <v>-960</v>
      </c>
      <c r="X42" s="89">
        <f>W42</f>
        <v>-960</v>
      </c>
      <c r="Y42" s="89">
        <f t="shared" ref="Y42:AH42" si="27">X42</f>
        <v>-960</v>
      </c>
      <c r="Z42" s="89">
        <f t="shared" si="27"/>
        <v>-960</v>
      </c>
      <c r="AA42" s="89">
        <f t="shared" si="27"/>
        <v>-960</v>
      </c>
      <c r="AB42" s="89">
        <f t="shared" si="27"/>
        <v>-960</v>
      </c>
      <c r="AC42" s="89">
        <f t="shared" si="27"/>
        <v>-960</v>
      </c>
      <c r="AD42" s="89">
        <f>AC42</f>
        <v>-960</v>
      </c>
      <c r="AE42" s="89">
        <f t="shared" si="27"/>
        <v>-960</v>
      </c>
      <c r="AF42" s="89">
        <f t="shared" si="27"/>
        <v>-960</v>
      </c>
      <c r="AG42" s="89">
        <f t="shared" si="27"/>
        <v>-960</v>
      </c>
      <c r="AH42" s="89">
        <f t="shared" si="27"/>
        <v>-960</v>
      </c>
    </row>
    <row r="43" spans="1:34" s="6" customFormat="1" x14ac:dyDescent="0.25">
      <c r="A43" s="6" t="s">
        <v>61</v>
      </c>
      <c r="C43" s="12">
        <f t="shared" ref="C43:M43" si="28">+C39-C41</f>
        <v>-741</v>
      </c>
      <c r="D43" s="12">
        <f t="shared" si="28"/>
        <v>-569</v>
      </c>
      <c r="E43" s="12">
        <f t="shared" si="28"/>
        <v>-492</v>
      </c>
      <c r="F43" s="12">
        <f t="shared" si="28"/>
        <v>-451</v>
      </c>
      <c r="G43" s="12">
        <f t="shared" si="28"/>
        <v>-391</v>
      </c>
      <c r="H43" s="12">
        <f t="shared" si="28"/>
        <v>-494</v>
      </c>
      <c r="I43" s="12">
        <f t="shared" si="28"/>
        <v>-589</v>
      </c>
      <c r="J43" s="12">
        <f t="shared" si="28"/>
        <v>-416</v>
      </c>
      <c r="K43" s="12">
        <f t="shared" si="28"/>
        <v>-432</v>
      </c>
      <c r="L43" s="12">
        <f t="shared" si="28"/>
        <v>-256</v>
      </c>
      <c r="M43" s="12">
        <f t="shared" si="28"/>
        <v>-243.23326999999989</v>
      </c>
      <c r="N43" s="12">
        <f>+N39-N47</f>
        <v>87.434817000000294</v>
      </c>
      <c r="O43" s="77">
        <f>+O39-O47</f>
        <v>253.69682999999918</v>
      </c>
      <c r="P43" s="31">
        <f>+P39-P47</f>
        <v>142.32716354999957</v>
      </c>
      <c r="Q43" s="12">
        <f t="shared" ref="Q43:AH43" si="29">+Q39-Q47</f>
        <v>387.78926665181274</v>
      </c>
      <c r="R43" s="12">
        <f t="shared" si="29"/>
        <v>522.4530875008536</v>
      </c>
      <c r="S43" s="12">
        <f t="shared" si="29"/>
        <v>725.28395084250553</v>
      </c>
      <c r="T43" s="12">
        <f t="shared" si="29"/>
        <v>938.72327010994377</v>
      </c>
      <c r="U43" s="12">
        <f t="shared" si="29"/>
        <v>1163.3549791922312</v>
      </c>
      <c r="V43" s="12">
        <f t="shared" si="29"/>
        <v>1399.7959181455419</v>
      </c>
      <c r="W43" s="12">
        <f t="shared" si="29"/>
        <v>1648.6976989160109</v>
      </c>
      <c r="X43" s="12">
        <f t="shared" si="29"/>
        <v>1790.7486765384901</v>
      </c>
      <c r="Y43" s="12">
        <f t="shared" si="29"/>
        <v>1942.7760317333091</v>
      </c>
      <c r="Z43" s="12">
        <f t="shared" si="29"/>
        <v>2105.4212211529957</v>
      </c>
      <c r="AA43" s="12">
        <f t="shared" si="29"/>
        <v>2250.5315043717114</v>
      </c>
      <c r="AB43" s="12">
        <f t="shared" si="29"/>
        <v>2367.5327398650857</v>
      </c>
      <c r="AC43" s="12">
        <f t="shared" si="29"/>
        <v>2454.9926739880848</v>
      </c>
      <c r="AD43" s="12">
        <f t="shared" si="29"/>
        <v>2523.7936669664905</v>
      </c>
      <c r="AE43" s="12">
        <f t="shared" si="29"/>
        <v>2594.5560354935387</v>
      </c>
      <c r="AF43" s="12">
        <f t="shared" si="29"/>
        <v>2660.264911668698</v>
      </c>
      <c r="AG43" s="12">
        <f t="shared" si="29"/>
        <v>2702.7715344604158</v>
      </c>
      <c r="AH43" s="12">
        <f t="shared" si="29"/>
        <v>2746.3408228219259</v>
      </c>
    </row>
    <row r="44" spans="1:34" x14ac:dyDescent="0.25">
      <c r="D44" s="11"/>
      <c r="E44" s="11"/>
      <c r="F44" s="11"/>
      <c r="G44" s="11"/>
      <c r="H44" s="11"/>
      <c r="I44" s="11"/>
      <c r="J44" s="11"/>
      <c r="K44" s="11"/>
      <c r="L44" s="11"/>
      <c r="M44" s="11"/>
      <c r="O44" s="144"/>
      <c r="P44" s="21"/>
    </row>
    <row r="45" spans="1:34" x14ac:dyDescent="0.25">
      <c r="A45" s="21" t="s">
        <v>26</v>
      </c>
      <c r="B45" s="21"/>
      <c r="C45" s="22">
        <v>4735</v>
      </c>
      <c r="D45" s="22">
        <v>5318</v>
      </c>
      <c r="E45" s="22">
        <f>5606+229</f>
        <v>5835</v>
      </c>
      <c r="F45" s="22">
        <v>6332</v>
      </c>
      <c r="G45" s="22">
        <v>6730</v>
      </c>
      <c r="H45" s="23">
        <v>7254</v>
      </c>
      <c r="I45" s="23">
        <f>7254+350+238</f>
        <v>7842</v>
      </c>
      <c r="J45" s="23">
        <v>8294</v>
      </c>
      <c r="K45" s="23">
        <v>8790</v>
      </c>
      <c r="L45" s="23">
        <f>8840+285</f>
        <v>9125</v>
      </c>
      <c r="M45" s="23">
        <f t="shared" ref="M45" si="30">MAX(0,+L45-M43)</f>
        <v>9368.2332700000006</v>
      </c>
      <c r="N45" s="23">
        <f>M45+N41+N42</f>
        <v>9614.2332700000006</v>
      </c>
      <c r="O45" s="78">
        <f>N45+O41+O42</f>
        <v>9748.4106700000011</v>
      </c>
      <c r="P45" s="23">
        <f>O45+P41+P42</f>
        <v>9818.8675264500016</v>
      </c>
      <c r="Q45" s="23">
        <f>P45+Q41+Q42</f>
        <v>9829.3514682106888</v>
      </c>
      <c r="R45" s="23">
        <f t="shared" ref="R45:AF45" si="31">Q45+R41+R42</f>
        <v>9778.5855032720228</v>
      </c>
      <c r="S45" s="23">
        <f t="shared" si="31"/>
        <v>9604.4480252179474</v>
      </c>
      <c r="T45" s="23">
        <f t="shared" si="31"/>
        <v>9302.7895162135774</v>
      </c>
      <c r="U45" s="23">
        <f t="shared" si="31"/>
        <v>8869.3160754903565</v>
      </c>
      <c r="V45" s="23">
        <f t="shared" si="31"/>
        <v>8299.584128567305</v>
      </c>
      <c r="W45" s="23">
        <f t="shared" si="31"/>
        <v>7588.9949286018145</v>
      </c>
      <c r="X45" s="23">
        <f t="shared" si="31"/>
        <v>6852.7888410206315</v>
      </c>
      <c r="Y45" s="23">
        <f t="shared" si="31"/>
        <v>6089.9394021745784</v>
      </c>
      <c r="Z45" s="23">
        <f t="shared" si="31"/>
        <v>5299.373892333494</v>
      </c>
      <c r="AA45" s="23">
        <f t="shared" si="31"/>
        <v>4480.5825079022879</v>
      </c>
      <c r="AB45" s="23">
        <f t="shared" si="31"/>
        <v>3633.2634757421711</v>
      </c>
      <c r="AC45" s="23">
        <f t="shared" si="31"/>
        <v>2757.1357971371585</v>
      </c>
      <c r="AD45" s="23">
        <f t="shared" si="31"/>
        <v>1851.6787504383169</v>
      </c>
      <c r="AE45" s="23">
        <f t="shared" si="31"/>
        <v>915.9177507191182</v>
      </c>
      <c r="AF45" s="23">
        <f t="shared" si="31"/>
        <v>-44.082249280881797</v>
      </c>
      <c r="AG45" s="23">
        <f>AF45+AG41+AG42-AG48</f>
        <v>-1004.0822492808818</v>
      </c>
      <c r="AH45" s="23">
        <f>AG45+AH41+AH42-AH48</f>
        <v>-1964.0822492808818</v>
      </c>
    </row>
    <row r="46" spans="1:34" x14ac:dyDescent="0.25">
      <c r="A46" s="21" t="s">
        <v>27</v>
      </c>
      <c r="B46" s="21"/>
      <c r="C46" s="22">
        <v>4731</v>
      </c>
      <c r="D46" s="22">
        <v>4752</v>
      </c>
      <c r="E46" s="22">
        <v>4776</v>
      </c>
      <c r="F46" s="22">
        <v>5144</v>
      </c>
      <c r="G46" s="22">
        <v>5444</v>
      </c>
      <c r="H46" s="24">
        <v>6424</v>
      </c>
      <c r="I46" s="24">
        <v>6773</v>
      </c>
      <c r="J46" s="24">
        <v>7482</v>
      </c>
      <c r="K46" s="24">
        <v>7500</v>
      </c>
      <c r="L46" s="24">
        <f t="shared" ref="L46:AH46" si="32">IF(L45&gt;0,K46+L48,MAX(0,K46+L48-(L43-(K45-L45))))</f>
        <v>7500</v>
      </c>
      <c r="M46" s="24">
        <f t="shared" si="32"/>
        <v>7500</v>
      </c>
      <c r="N46" s="24">
        <f t="shared" si="32"/>
        <v>7500</v>
      </c>
      <c r="O46" s="68">
        <f t="shared" si="32"/>
        <v>7500</v>
      </c>
      <c r="P46" s="24">
        <f t="shared" si="32"/>
        <v>7500</v>
      </c>
      <c r="Q46" s="24">
        <f t="shared" si="32"/>
        <v>7500</v>
      </c>
      <c r="R46" s="24">
        <f t="shared" si="32"/>
        <v>7500</v>
      </c>
      <c r="S46" s="24">
        <f t="shared" si="32"/>
        <v>7500</v>
      </c>
      <c r="T46" s="24">
        <f t="shared" si="32"/>
        <v>7500</v>
      </c>
      <c r="U46" s="24">
        <f t="shared" si="32"/>
        <v>7500</v>
      </c>
      <c r="V46" s="24">
        <f t="shared" si="32"/>
        <v>7500</v>
      </c>
      <c r="W46" s="24">
        <f t="shared" si="32"/>
        <v>7500</v>
      </c>
      <c r="X46" s="24">
        <f t="shared" si="32"/>
        <v>7500</v>
      </c>
      <c r="Y46" s="24">
        <f t="shared" si="32"/>
        <v>7500</v>
      </c>
      <c r="Z46" s="24">
        <f t="shared" si="32"/>
        <v>7500</v>
      </c>
      <c r="AA46" s="24">
        <f t="shared" si="32"/>
        <v>7500</v>
      </c>
      <c r="AB46" s="24">
        <f t="shared" si="32"/>
        <v>7500</v>
      </c>
      <c r="AC46" s="24">
        <f t="shared" si="32"/>
        <v>7500</v>
      </c>
      <c r="AD46" s="24">
        <f t="shared" si="32"/>
        <v>7500</v>
      </c>
      <c r="AE46" s="24">
        <f t="shared" si="32"/>
        <v>7500</v>
      </c>
      <c r="AF46" s="24">
        <f t="shared" si="32"/>
        <v>5799.735088331302</v>
      </c>
      <c r="AG46" s="24">
        <f>IF(AG45&gt;0,AF46+AG48,MAX(0,AF46+AG48-(AG43-(AF45-AG45))))</f>
        <v>4056.9635538708862</v>
      </c>
      <c r="AH46" s="24">
        <f t="shared" si="32"/>
        <v>2270.6227310489603</v>
      </c>
    </row>
    <row r="47" spans="1:34" x14ac:dyDescent="0.25">
      <c r="A47" t="s">
        <v>71</v>
      </c>
      <c r="C47" s="54"/>
      <c r="D47" s="101">
        <f>+D45-C45</f>
        <v>583</v>
      </c>
      <c r="E47" s="102">
        <f t="shared" ref="E47:AH47" si="33">+E45-D45</f>
        <v>517</v>
      </c>
      <c r="F47" s="102">
        <f t="shared" si="33"/>
        <v>497</v>
      </c>
      <c r="G47" s="102">
        <f t="shared" si="33"/>
        <v>398</v>
      </c>
      <c r="H47" s="43">
        <f t="shared" si="33"/>
        <v>524</v>
      </c>
      <c r="I47" s="43">
        <f t="shared" si="33"/>
        <v>588</v>
      </c>
      <c r="J47" s="43">
        <f t="shared" si="33"/>
        <v>452</v>
      </c>
      <c r="K47" s="43">
        <f t="shared" si="33"/>
        <v>496</v>
      </c>
      <c r="L47" s="43">
        <f t="shared" si="33"/>
        <v>335</v>
      </c>
      <c r="M47" s="43">
        <f t="shared" si="33"/>
        <v>243.23327000000063</v>
      </c>
      <c r="N47" s="43">
        <f>+N45-M45</f>
        <v>246</v>
      </c>
      <c r="O47" s="147">
        <f t="shared" si="33"/>
        <v>134.17740000000049</v>
      </c>
      <c r="P47" s="24">
        <f t="shared" si="33"/>
        <v>70.456856450000487</v>
      </c>
      <c r="Q47" s="4">
        <f>+Q45-P45</f>
        <v>10.48394176068723</v>
      </c>
      <c r="R47" s="4">
        <f t="shared" si="33"/>
        <v>-50.765964938666002</v>
      </c>
      <c r="S47" s="4">
        <f t="shared" si="33"/>
        <v>-174.13747805407547</v>
      </c>
      <c r="T47" s="4">
        <f t="shared" si="33"/>
        <v>-301.65850900436999</v>
      </c>
      <c r="U47" s="4">
        <f t="shared" si="33"/>
        <v>-433.47344072322085</v>
      </c>
      <c r="V47" s="4">
        <f t="shared" si="33"/>
        <v>-569.73194692305151</v>
      </c>
      <c r="W47" s="4">
        <f t="shared" si="33"/>
        <v>-710.58919996549048</v>
      </c>
      <c r="X47" s="4">
        <f t="shared" si="33"/>
        <v>-736.20608758118306</v>
      </c>
      <c r="Y47" s="4">
        <f t="shared" si="33"/>
        <v>-762.84943884605309</v>
      </c>
      <c r="Z47" s="4">
        <f t="shared" si="33"/>
        <v>-790.56550984108435</v>
      </c>
      <c r="AA47" s="4">
        <f t="shared" si="33"/>
        <v>-818.7913844312061</v>
      </c>
      <c r="AB47" s="4">
        <f t="shared" si="33"/>
        <v>-847.31903216011688</v>
      </c>
      <c r="AC47" s="4">
        <f t="shared" si="33"/>
        <v>-876.12767860501253</v>
      </c>
      <c r="AD47" s="4">
        <f t="shared" si="33"/>
        <v>-905.45704669884162</v>
      </c>
      <c r="AE47" s="4">
        <f t="shared" si="33"/>
        <v>-935.76099971919871</v>
      </c>
      <c r="AF47" s="4">
        <f t="shared" si="33"/>
        <v>-960</v>
      </c>
      <c r="AG47" s="4">
        <f t="shared" si="33"/>
        <v>-960</v>
      </c>
      <c r="AH47" s="4">
        <f t="shared" si="33"/>
        <v>-960</v>
      </c>
    </row>
    <row r="48" spans="1:34" x14ac:dyDescent="0.25">
      <c r="A48" t="s">
        <v>31</v>
      </c>
      <c r="C48" s="54"/>
      <c r="D48" s="54">
        <f>+D46-C46</f>
        <v>21</v>
      </c>
      <c r="E48" s="54">
        <f>+E46-D46</f>
        <v>24</v>
      </c>
      <c r="F48" s="54">
        <f>+F46-E46</f>
        <v>368</v>
      </c>
      <c r="G48" s="54">
        <f>+G46-F46</f>
        <v>300</v>
      </c>
      <c r="H48" s="59">
        <v>980</v>
      </c>
      <c r="I48">
        <v>349</v>
      </c>
      <c r="J48">
        <v>709</v>
      </c>
      <c r="K48">
        <f>IF(SUM($D48:J48)&lt;(7500-$C46),IF((10000*K6/1000+SUM($D48:J48))&lt;(7500-$C46),10000*K6/1000,7500-$C46-SUM($D48:J48)),0)</f>
        <v>18</v>
      </c>
      <c r="L48">
        <f>IF(SUM($D48:K48)&lt;(7500-$C46),IF((10000*L6/1000+SUM($D48:K48))&lt;(7500-$C46),10000*L6/1000,7500-$C46-SUM($D48:K48)),0)</f>
        <v>0</v>
      </c>
      <c r="M48">
        <f>IF(SUM($D48:L48)&lt;(7500-$C46),IF((10000*M6/1000+SUM($D48:L48))&lt;(7500-$C46),10000*M6/1000,7500-$C46-SUM($D48:L48)),0)</f>
        <v>0</v>
      </c>
      <c r="N48">
        <f>IF(SUM($D48:M48)&lt;(7500-$C46),IF((10000*N6/1000+SUM($D48:M48))&lt;(7500-$C46),10000*N6/1000,7500-$C46-SUM($D48:M48)),0)</f>
        <v>0</v>
      </c>
      <c r="O48" s="65">
        <f>IF(SUM($D48:N48)&lt;(7500-$C46),IF((10000*O6/1000+SUM($D48:N48))&lt;(7500-$C46),10000*O6/1000,7500-$C46-SUM($D48:N48)),0)</f>
        <v>0</v>
      </c>
      <c r="P48" s="21">
        <f>IF(SUM($D48:O48)&lt;(7500-$C46),IF((10000*P6/1000+SUM($D48:O48))&lt;(7500-$C46),10000*P6/1000,7500-$C46-SUM($D48:O48)),0)</f>
        <v>0</v>
      </c>
      <c r="Q48">
        <f>IF(SUM($D48:P48)&lt;(7500-$C46),IF((10000*Q6/1000+SUM($D48:P48))&lt;(7500-$C46),10000*Q6/1000,7500-$C46-SUM($D48:P48)),0)</f>
        <v>0</v>
      </c>
      <c r="R48">
        <f>IF(SUM($D48:Q48)&lt;(7500-$C46),IF((10000*R6/1000+SUM($D48:Q48))&lt;(7500-$C46),10000*R6/1000,7500-$C46-SUM($D48:Q48)),0)</f>
        <v>0</v>
      </c>
      <c r="S48">
        <f>IF(SUM($D48:R48)&lt;(7500-$C46),IF((10000*S6/1000+SUM($D48:R48))&lt;(7500-$C46),10000*S6/1000,7500-$C46-SUM($D48:R48)),0)</f>
        <v>0</v>
      </c>
      <c r="T48">
        <f>IF(SUM($D48:S48)&lt;(7500-$C46),IF((10000*T6/1000+SUM($D48:S48))&lt;(7500-$C46),10000*T6/1000,7500-$C46-SUM($D48:S48)),0)</f>
        <v>0</v>
      </c>
      <c r="U48">
        <f>IF(SUM($D48:T48)&lt;(7500-$C46),IF((10000*U6/1000+SUM($D48:T48))&lt;(7500-$C46),10000*U6/1000,7500-$C46-SUM($D48:T48)),0)</f>
        <v>0</v>
      </c>
      <c r="V48">
        <f>IF(SUM($D48:U48)&lt;(7500-$C46),IF((10000*V6/1000+SUM($D48:U48))&lt;(7500-$C46),10000*V6/1000,7500-$C46-SUM($D48:U48)),0)</f>
        <v>0</v>
      </c>
      <c r="W48">
        <f>IF(SUM($D48:V48)&lt;(7500-$C46),IF((10000*W6/1000+SUM($D48:V48))&lt;(7500-$C46),10000*W6/1000,7500-$C46-SUM($D48:V48)),0)</f>
        <v>0</v>
      </c>
      <c r="X48">
        <f>IF(SUM($D48:W48)&lt;(7500-$C46),IF((10000*X6/1000+SUM($D48:W48))&lt;(7500-$C46),10000*X6/1000,7500-$C46-SUM($D48:W48)),0)</f>
        <v>0</v>
      </c>
      <c r="Y48">
        <f>IF(SUM($D48:X48)&lt;(7500-$C46),IF((10000*Y6/1000+SUM($D48:X48))&lt;(7500-$C46),10000*Y6/1000,7500-$C46-SUM($D48:X48)),0)</f>
        <v>0</v>
      </c>
      <c r="Z48">
        <f>IF(SUM($D48:Y48)&lt;(7500-$C46),IF((10000*Z6/1000+SUM($D48:Y48))&lt;(7500-$C46),10000*Z6/1000,7500-$C46-SUM($D48:Y48)),0)</f>
        <v>0</v>
      </c>
      <c r="AA48">
        <f>IF(SUM($D48:Z48)&lt;(7500-$C46),IF((10000*AA6/1000+SUM($D48:Z48))&lt;(7500-$C46),10000*AA6/1000,7500-$C46-SUM($D48:Z48)),0)</f>
        <v>0</v>
      </c>
      <c r="AB48">
        <f>IF(SUM($D48:AA48)&lt;(7500-$C46),IF((10000*AB6/1000+SUM($D48:AA48))&lt;(7500-$C46),10000*AB6/1000,7500-$C46-SUM($D48:AA48)),0)</f>
        <v>0</v>
      </c>
      <c r="AC48">
        <f>IF(SUM($D48:AB48)&lt;(7500-$C46),IF((10000*AC6/1000+SUM($D48:AB48))&lt;(7500-$C46),10000*AC6/1000,7500-$C46-SUM($D48:AB48)),0)</f>
        <v>0</v>
      </c>
      <c r="AD48">
        <f>IF(SUM($D48:AC48)&lt;(7500-$C46),IF((10000*AD6/1000+SUM($D48:AC48))&lt;(7500-$C46),10000*AD6/1000,7500-$C46-SUM($D48:AC48)),0)</f>
        <v>0</v>
      </c>
      <c r="AE48">
        <f>IF(SUM($D48:AD48)&lt;(7500-$C46),IF((10000*AE6/1000+SUM($D48:AD48))&lt;(7500-$C46),10000*AE6/1000,7500-$C46-SUM($D48:AD48)),0)</f>
        <v>0</v>
      </c>
      <c r="AF48">
        <f>IF(SUM($D48:AE48)&lt;(7500-$C46),IF((10000*AF6/1000+SUM($D48:AE48))&lt;(7500-$C46),10000*AF6/1000,7500-$C46-SUM($D48:AE48)),0)</f>
        <v>0</v>
      </c>
      <c r="AG48">
        <f>IF(SUM($D48:AF48)&lt;(7500-$C46),IF((10000*AG6/1000+SUM($D48:AF48))&lt;(7500-$C46),10000*AG6/1000,7500-$C46-SUM($D48:AF48)),0)</f>
        <v>0</v>
      </c>
      <c r="AH48">
        <f>IF(SUM($D48:AG48)&lt;(7500-$C46),IF((10000*AH6/1000+SUM($D48:AG48))&lt;(7500-$C46),10000*AH6/1000,7500-$C46-SUM($D48:AG48)),0)</f>
        <v>0</v>
      </c>
    </row>
    <row r="49" spans="1:34" x14ac:dyDescent="0.25">
      <c r="A49" t="s">
        <v>55</v>
      </c>
      <c r="C49">
        <v>8</v>
      </c>
      <c r="D49" s="11">
        <v>8</v>
      </c>
      <c r="E49" s="11">
        <v>2</v>
      </c>
      <c r="F49" s="11">
        <v>33</v>
      </c>
      <c r="G49" s="11">
        <v>22</v>
      </c>
      <c r="H49">
        <v>42</v>
      </c>
      <c r="I49" s="11">
        <v>12</v>
      </c>
      <c r="J49" s="11">
        <v>1</v>
      </c>
      <c r="K49" s="11">
        <v>3</v>
      </c>
      <c r="L49" s="11">
        <v>2</v>
      </c>
      <c r="M49" s="11">
        <v>2</v>
      </c>
      <c r="N49" s="11">
        <f>N43</f>
        <v>87.434817000000294</v>
      </c>
      <c r="O49" s="78">
        <f>N49+O43</f>
        <v>341.13164699999948</v>
      </c>
      <c r="P49" s="23">
        <f>O49+P43</f>
        <v>483.45881054999904</v>
      </c>
      <c r="Q49" s="135">
        <f>P49+Q43</f>
        <v>871.24807720181184</v>
      </c>
      <c r="R49" s="135">
        <f>Q49+R43</f>
        <v>1393.7011647026654</v>
      </c>
      <c r="S49" s="135">
        <f t="shared" ref="S49:AH49" si="34">R49+S43</f>
        <v>2118.9851155451711</v>
      </c>
      <c r="T49" s="135">
        <f t="shared" si="34"/>
        <v>3057.7083856551149</v>
      </c>
      <c r="U49" s="135">
        <f t="shared" si="34"/>
        <v>4221.0633648473458</v>
      </c>
      <c r="V49" s="135">
        <f t="shared" si="34"/>
        <v>5620.8592829928875</v>
      </c>
      <c r="W49" s="135">
        <f t="shared" si="34"/>
        <v>7269.5569819088987</v>
      </c>
      <c r="X49" s="135">
        <f t="shared" si="34"/>
        <v>9060.3056584473889</v>
      </c>
      <c r="Y49" s="135">
        <f t="shared" si="34"/>
        <v>11003.081690180697</v>
      </c>
      <c r="Z49" s="135">
        <f t="shared" si="34"/>
        <v>13108.502911333693</v>
      </c>
      <c r="AA49" s="135">
        <f t="shared" si="34"/>
        <v>15359.034415705404</v>
      </c>
      <c r="AB49" s="135">
        <f t="shared" si="34"/>
        <v>17726.56715557049</v>
      </c>
      <c r="AC49" s="135">
        <f t="shared" si="34"/>
        <v>20181.559829558573</v>
      </c>
      <c r="AD49" s="135">
        <f t="shared" si="34"/>
        <v>22705.353496525066</v>
      </c>
      <c r="AE49" s="135">
        <f t="shared" si="34"/>
        <v>25299.909532018602</v>
      </c>
      <c r="AF49" s="135">
        <f t="shared" si="34"/>
        <v>27960.174443687301</v>
      </c>
      <c r="AG49" s="135">
        <f t="shared" si="34"/>
        <v>30662.945978147716</v>
      </c>
      <c r="AH49" s="135">
        <f t="shared" si="34"/>
        <v>33409.286800969639</v>
      </c>
    </row>
    <row r="50" spans="1:34" x14ac:dyDescent="0.25">
      <c r="A50" t="s">
        <v>56</v>
      </c>
      <c r="C50">
        <f t="shared" ref="C50:F50" si="35">+C49-B49</f>
        <v>8</v>
      </c>
      <c r="D50" s="11">
        <f t="shared" si="35"/>
        <v>0</v>
      </c>
      <c r="E50" s="11">
        <f t="shared" si="35"/>
        <v>-6</v>
      </c>
      <c r="F50" s="11">
        <f t="shared" si="35"/>
        <v>31</v>
      </c>
      <c r="G50" s="11">
        <f>+G49-F49</f>
        <v>-11</v>
      </c>
      <c r="H50" s="11">
        <f>+H49-G49</f>
        <v>20</v>
      </c>
      <c r="I50" s="11">
        <f t="shared" ref="I50:AH50" si="36">+I49-H49</f>
        <v>-30</v>
      </c>
      <c r="J50" s="11">
        <f t="shared" si="36"/>
        <v>-11</v>
      </c>
      <c r="K50" s="11">
        <f t="shared" si="36"/>
        <v>2</v>
      </c>
      <c r="L50" s="11">
        <f t="shared" si="36"/>
        <v>-1</v>
      </c>
      <c r="M50" s="11">
        <f t="shared" si="36"/>
        <v>0</v>
      </c>
      <c r="N50" s="11">
        <f>+N49-M49</f>
        <v>85.434817000000294</v>
      </c>
      <c r="O50" s="78">
        <f>+O49-N49</f>
        <v>253.69682999999918</v>
      </c>
      <c r="P50" s="23">
        <f>+P49-O49</f>
        <v>142.32716354999957</v>
      </c>
      <c r="Q50" s="11">
        <f t="shared" si="36"/>
        <v>387.7892666518128</v>
      </c>
      <c r="R50" s="11">
        <f t="shared" si="36"/>
        <v>522.4530875008536</v>
      </c>
      <c r="S50" s="11">
        <f t="shared" si="36"/>
        <v>725.28395084250565</v>
      </c>
      <c r="T50" s="11">
        <f t="shared" si="36"/>
        <v>938.72327010994377</v>
      </c>
      <c r="U50" s="11">
        <f t="shared" si="36"/>
        <v>1163.354979192231</v>
      </c>
      <c r="V50" s="11">
        <f t="shared" si="36"/>
        <v>1399.7959181455417</v>
      </c>
      <c r="W50" s="11">
        <f t="shared" si="36"/>
        <v>1648.6976989160112</v>
      </c>
      <c r="X50" s="11">
        <f t="shared" si="36"/>
        <v>1790.7486765384901</v>
      </c>
      <c r="Y50" s="11">
        <f t="shared" si="36"/>
        <v>1942.7760317333086</v>
      </c>
      <c r="Z50" s="11">
        <f t="shared" si="36"/>
        <v>2105.4212211529957</v>
      </c>
      <c r="AA50" s="11">
        <f t="shared" si="36"/>
        <v>2250.531504371711</v>
      </c>
      <c r="AB50" s="11">
        <f t="shared" si="36"/>
        <v>2367.5327398650861</v>
      </c>
      <c r="AC50" s="11">
        <f t="shared" si="36"/>
        <v>2454.992673988083</v>
      </c>
      <c r="AD50" s="11">
        <f t="shared" si="36"/>
        <v>2523.7936669664923</v>
      </c>
      <c r="AE50" s="11">
        <f t="shared" si="36"/>
        <v>2594.5560354935369</v>
      </c>
      <c r="AF50" s="11">
        <f t="shared" si="36"/>
        <v>2660.2649116686989</v>
      </c>
      <c r="AG50" s="11">
        <f t="shared" si="36"/>
        <v>2702.7715344604148</v>
      </c>
      <c r="AH50" s="11">
        <f t="shared" si="36"/>
        <v>2746.3408228219232</v>
      </c>
    </row>
    <row r="51" spans="1:34" x14ac:dyDescent="0.25">
      <c r="A51" t="s">
        <v>83</v>
      </c>
      <c r="D51" s="59"/>
      <c r="E51" s="59"/>
      <c r="F51" s="59"/>
      <c r="G51" s="59"/>
      <c r="H51" s="59"/>
      <c r="I51" s="59"/>
      <c r="N51" s="43"/>
    </row>
    <row r="73" spans="1:40" x14ac:dyDescent="0.25">
      <c r="C73" s="4"/>
    </row>
    <row r="74" spans="1:40" x14ac:dyDescent="0.25">
      <c r="G74" s="14">
        <f t="shared" ref="G74:AH74" si="37">G3</f>
        <v>2013</v>
      </c>
      <c r="H74" s="14">
        <f t="shared" si="37"/>
        <v>2014</v>
      </c>
      <c r="I74" s="14">
        <f t="shared" si="37"/>
        <v>2015</v>
      </c>
      <c r="J74" s="14">
        <f t="shared" si="37"/>
        <v>2016</v>
      </c>
      <c r="K74" s="14">
        <f t="shared" si="37"/>
        <v>2017</v>
      </c>
      <c r="L74" s="14">
        <f t="shared" si="37"/>
        <v>2018</v>
      </c>
      <c r="M74" s="14">
        <f t="shared" si="37"/>
        <v>2019</v>
      </c>
      <c r="N74" s="14">
        <f t="shared" si="37"/>
        <v>2020</v>
      </c>
      <c r="O74" s="14">
        <f t="shared" si="37"/>
        <v>2021</v>
      </c>
      <c r="P74" s="14">
        <f t="shared" si="37"/>
        <v>2022</v>
      </c>
      <c r="Q74" s="14">
        <f t="shared" si="37"/>
        <v>2023</v>
      </c>
      <c r="R74" s="14">
        <f t="shared" si="37"/>
        <v>2024</v>
      </c>
      <c r="S74" s="14">
        <f t="shared" si="37"/>
        <v>2025</v>
      </c>
      <c r="T74" s="14">
        <f t="shared" si="37"/>
        <v>2026</v>
      </c>
      <c r="U74" s="14">
        <f t="shared" si="37"/>
        <v>2027</v>
      </c>
      <c r="V74" s="14">
        <f t="shared" si="37"/>
        <v>2028</v>
      </c>
      <c r="W74" s="14">
        <f t="shared" si="37"/>
        <v>2029</v>
      </c>
      <c r="X74" s="14">
        <f t="shared" si="37"/>
        <v>2030</v>
      </c>
      <c r="Y74" s="14">
        <f t="shared" si="37"/>
        <v>2031</v>
      </c>
      <c r="Z74" s="14">
        <f t="shared" si="37"/>
        <v>2032</v>
      </c>
      <c r="AA74" s="14">
        <f t="shared" si="37"/>
        <v>2033</v>
      </c>
      <c r="AB74" s="14">
        <f t="shared" si="37"/>
        <v>2034</v>
      </c>
      <c r="AC74" s="14">
        <f t="shared" si="37"/>
        <v>2035</v>
      </c>
      <c r="AD74" s="14">
        <f t="shared" si="37"/>
        <v>2036</v>
      </c>
      <c r="AE74" s="14">
        <f t="shared" si="37"/>
        <v>2037</v>
      </c>
      <c r="AF74" s="14">
        <f t="shared" si="37"/>
        <v>2038</v>
      </c>
      <c r="AG74" s="14">
        <f t="shared" si="37"/>
        <v>2039</v>
      </c>
      <c r="AH74" s="14">
        <f t="shared" si="37"/>
        <v>2040</v>
      </c>
    </row>
    <row r="75" spans="1:40" x14ac:dyDescent="0.25">
      <c r="A75" t="s">
        <v>62</v>
      </c>
      <c r="C75" s="10">
        <f t="shared" ref="C75:AH75" si="38">+C34-C18+C24+C29</f>
        <v>-277</v>
      </c>
      <c r="D75" s="10">
        <f t="shared" si="38"/>
        <v>-186</v>
      </c>
      <c r="E75" s="10">
        <f t="shared" si="38"/>
        <v>-183</v>
      </c>
      <c r="F75" s="10">
        <f t="shared" si="38"/>
        <v>-158</v>
      </c>
      <c r="G75" s="10">
        <f t="shared" si="38"/>
        <v>-143</v>
      </c>
      <c r="H75" s="10">
        <f t="shared" si="38"/>
        <v>-112</v>
      </c>
      <c r="I75" s="10">
        <f t="shared" si="38"/>
        <v>-113</v>
      </c>
      <c r="J75" s="10">
        <f t="shared" si="38"/>
        <v>0</v>
      </c>
      <c r="K75" s="10">
        <f t="shared" si="38"/>
        <v>127</v>
      </c>
      <c r="L75" s="10">
        <f t="shared" si="38"/>
        <v>186</v>
      </c>
      <c r="M75" s="10">
        <f t="shared" si="38"/>
        <v>181.32079000000056</v>
      </c>
      <c r="N75" s="10">
        <f t="shared" si="38"/>
        <v>246.90053000000029</v>
      </c>
      <c r="O75" s="10">
        <f t="shared" si="38"/>
        <v>246.6193999999997</v>
      </c>
      <c r="P75" s="10">
        <f t="shared" si="38"/>
        <v>323.94120000000009</v>
      </c>
      <c r="Q75" s="10">
        <f t="shared" si="38"/>
        <v>411.09205405</v>
      </c>
      <c r="R75" s="10">
        <f t="shared" si="38"/>
        <v>505.97880065375017</v>
      </c>
      <c r="S75" s="10">
        <f t="shared" si="38"/>
        <v>608.85116688634434</v>
      </c>
      <c r="T75" s="10">
        <f t="shared" si="38"/>
        <v>720.25861472174688</v>
      </c>
      <c r="U75" s="10">
        <f t="shared" si="38"/>
        <v>840.78529120418693</v>
      </c>
      <c r="V75" s="10">
        <f t="shared" si="38"/>
        <v>971.05211587329791</v>
      </c>
      <c r="W75" s="10">
        <f t="shared" si="38"/>
        <v>1111.7189900334208</v>
      </c>
      <c r="X75" s="10">
        <f t="shared" si="38"/>
        <v>1263.4871348282879</v>
      </c>
      <c r="Y75" s="10">
        <f t="shared" si="38"/>
        <v>1427.1015654736832</v>
      </c>
      <c r="Z75" s="10">
        <f t="shared" si="38"/>
        <v>1603.3537094138244</v>
      </c>
      <c r="AA75" s="10">
        <f t="shared" si="38"/>
        <v>1755.4549066102313</v>
      </c>
      <c r="AB75" s="10">
        <f t="shared" si="38"/>
        <v>1869.5813922967548</v>
      </c>
      <c r="AC75" s="10">
        <f t="shared" si="38"/>
        <v>1943.8488537514793</v>
      </c>
      <c r="AD75" s="10">
        <f t="shared" si="38"/>
        <v>1992.4450750952658</v>
      </c>
      <c r="AE75" s="10">
        <f t="shared" si="38"/>
        <v>2042.2562019726479</v>
      </c>
      <c r="AF75" s="10">
        <f t="shared" si="38"/>
        <v>2093.3126070219632</v>
      </c>
      <c r="AG75" s="10">
        <f t="shared" si="38"/>
        <v>2145.6454221975127</v>
      </c>
      <c r="AH75" s="10">
        <f t="shared" si="38"/>
        <v>2199.2865577524503</v>
      </c>
      <c r="AI75" s="10"/>
      <c r="AJ75" s="10"/>
      <c r="AK75" s="10"/>
      <c r="AL75" s="10"/>
      <c r="AM75" s="10"/>
      <c r="AN75" s="10"/>
    </row>
    <row r="76" spans="1:40" x14ac:dyDescent="0.25">
      <c r="A76" t="s">
        <v>63</v>
      </c>
      <c r="C76" s="90">
        <f t="shared" ref="C76:AH76" si="39">+C34-C75</f>
        <v>-310</v>
      </c>
      <c r="D76" s="90">
        <f t="shared" si="39"/>
        <v>-199</v>
      </c>
      <c r="E76" s="90">
        <f t="shared" si="39"/>
        <v>-71</v>
      </c>
      <c r="F76" s="90">
        <f t="shared" si="39"/>
        <v>-83</v>
      </c>
      <c r="G76" s="90">
        <f t="shared" si="39"/>
        <v>-73</v>
      </c>
      <c r="H76" s="90">
        <f t="shared" si="39"/>
        <v>-101</v>
      </c>
      <c r="I76" s="90">
        <f t="shared" si="39"/>
        <v>-162</v>
      </c>
      <c r="J76" s="90">
        <f t="shared" si="39"/>
        <v>-164</v>
      </c>
      <c r="K76" s="90">
        <f>+K34-K75</f>
        <v>-232</v>
      </c>
      <c r="L76" s="90">
        <f t="shared" si="39"/>
        <v>-180</v>
      </c>
      <c r="M76" s="90">
        <f t="shared" si="39"/>
        <v>-129.12335000000041</v>
      </c>
      <c r="N76" s="90">
        <f t="shared" si="39"/>
        <v>41.534287000000006</v>
      </c>
      <c r="O76" s="90">
        <f>+O34-O75</f>
        <v>182.74383</v>
      </c>
      <c r="P76" s="90">
        <f>+P34-P75</f>
        <v>67.842819999999961</v>
      </c>
      <c r="Q76" s="90">
        <f t="shared" si="39"/>
        <v>119.93889049999996</v>
      </c>
      <c r="R76" s="90">
        <f t="shared" si="39"/>
        <v>122.93736276249996</v>
      </c>
      <c r="S76" s="90">
        <f t="shared" si="39"/>
        <v>126.0107968315624</v>
      </c>
      <c r="T76" s="90">
        <f t="shared" si="39"/>
        <v>129.16106675235142</v>
      </c>
      <c r="U76" s="90">
        <f t="shared" si="39"/>
        <v>132.39009342116015</v>
      </c>
      <c r="V76" s="90">
        <f t="shared" si="39"/>
        <v>135.69984575668923</v>
      </c>
      <c r="W76" s="90">
        <f t="shared" si="39"/>
        <v>139.09234190060647</v>
      </c>
      <c r="X76" s="90">
        <f t="shared" si="39"/>
        <v>142.56965044812159</v>
      </c>
      <c r="Y76" s="90">
        <f t="shared" si="39"/>
        <v>146.13389170932464</v>
      </c>
      <c r="Z76" s="90">
        <f t="shared" si="39"/>
        <v>149.78723900205773</v>
      </c>
      <c r="AA76" s="90">
        <f t="shared" si="39"/>
        <v>153.53191997710928</v>
      </c>
      <c r="AB76" s="90">
        <f t="shared" si="39"/>
        <v>157.37021797653711</v>
      </c>
      <c r="AC76" s="90">
        <f t="shared" si="39"/>
        <v>161.30447342595039</v>
      </c>
      <c r="AD76" s="90">
        <f t="shared" si="39"/>
        <v>165.33708526159921</v>
      </c>
      <c r="AE76" s="90">
        <f t="shared" si="39"/>
        <v>169.47051239313896</v>
      </c>
      <c r="AF76" s="90">
        <f t="shared" si="39"/>
        <v>173.70727520296759</v>
      </c>
      <c r="AG76" s="90">
        <f t="shared" si="39"/>
        <v>178.04995708304159</v>
      </c>
      <c r="AH76" s="90">
        <f t="shared" si="39"/>
        <v>182.50120601011758</v>
      </c>
      <c r="AI76" s="90"/>
      <c r="AJ76" s="90"/>
      <c r="AK76" s="90"/>
      <c r="AL76" s="90"/>
      <c r="AM76" s="90"/>
      <c r="AN76" s="90"/>
    </row>
    <row r="77" spans="1:40" x14ac:dyDescent="0.25">
      <c r="A77" t="s">
        <v>64</v>
      </c>
      <c r="C77" s="10">
        <f t="shared" ref="C77:AH77" si="40">+C75+C76</f>
        <v>-587</v>
      </c>
      <c r="D77" s="10">
        <f t="shared" si="40"/>
        <v>-385</v>
      </c>
      <c r="E77" s="10">
        <f t="shared" si="40"/>
        <v>-254</v>
      </c>
      <c r="F77" s="10">
        <f t="shared" si="40"/>
        <v>-241</v>
      </c>
      <c r="G77" s="10">
        <f t="shared" si="40"/>
        <v>-216</v>
      </c>
      <c r="H77" s="10">
        <f t="shared" si="40"/>
        <v>-213</v>
      </c>
      <c r="I77" s="10">
        <f t="shared" si="40"/>
        <v>-275</v>
      </c>
      <c r="J77" s="10">
        <f t="shared" si="40"/>
        <v>-164</v>
      </c>
      <c r="K77" s="10">
        <f t="shared" si="40"/>
        <v>-105</v>
      </c>
      <c r="L77" s="10">
        <f t="shared" si="40"/>
        <v>6</v>
      </c>
      <c r="M77" s="10">
        <f t="shared" si="40"/>
        <v>52.197440000000142</v>
      </c>
      <c r="N77" s="10">
        <f t="shared" si="40"/>
        <v>288.43481700000029</v>
      </c>
      <c r="O77" s="10">
        <f t="shared" si="40"/>
        <v>429.3632299999997</v>
      </c>
      <c r="P77" s="10">
        <f t="shared" si="40"/>
        <v>391.78402000000006</v>
      </c>
      <c r="Q77" s="10">
        <f t="shared" si="40"/>
        <v>531.03094454999996</v>
      </c>
      <c r="R77" s="10">
        <f t="shared" si="40"/>
        <v>628.91616341625013</v>
      </c>
      <c r="S77" s="10">
        <f t="shared" si="40"/>
        <v>734.86196371790675</v>
      </c>
      <c r="T77" s="10">
        <f t="shared" si="40"/>
        <v>849.4196814740983</v>
      </c>
      <c r="U77" s="10">
        <f t="shared" si="40"/>
        <v>973.17538462534708</v>
      </c>
      <c r="V77" s="10">
        <f t="shared" si="40"/>
        <v>1106.7519616299871</v>
      </c>
      <c r="W77" s="10">
        <f t="shared" si="40"/>
        <v>1250.8113319340273</v>
      </c>
      <c r="X77" s="10">
        <f t="shared" si="40"/>
        <v>1406.0567852764095</v>
      </c>
      <c r="Y77" s="10">
        <f t="shared" si="40"/>
        <v>1573.2354571830078</v>
      </c>
      <c r="Z77" s="10">
        <f t="shared" si="40"/>
        <v>1753.1409484158821</v>
      </c>
      <c r="AA77" s="10">
        <f t="shared" si="40"/>
        <v>1908.9868265873406</v>
      </c>
      <c r="AB77" s="10">
        <f t="shared" si="40"/>
        <v>2026.9516102732919</v>
      </c>
      <c r="AC77" s="10">
        <f t="shared" si="40"/>
        <v>2105.1533271774297</v>
      </c>
      <c r="AD77" s="10">
        <f t="shared" si="40"/>
        <v>2157.782160356865</v>
      </c>
      <c r="AE77" s="10">
        <f t="shared" si="40"/>
        <v>2211.7267143657868</v>
      </c>
      <c r="AF77" s="10">
        <f t="shared" si="40"/>
        <v>2267.0198822249308</v>
      </c>
      <c r="AG77" s="10">
        <f t="shared" si="40"/>
        <v>2323.6953792805543</v>
      </c>
      <c r="AH77" s="10">
        <f t="shared" si="40"/>
        <v>2381.7877637625679</v>
      </c>
      <c r="AI77" s="10"/>
      <c r="AJ77" s="10"/>
      <c r="AK77" s="10"/>
      <c r="AL77" s="10"/>
      <c r="AM77" s="10"/>
      <c r="AN77" s="10"/>
    </row>
    <row r="79" spans="1:40" x14ac:dyDescent="0.25">
      <c r="M79" s="10"/>
      <c r="N79" s="10"/>
      <c r="O79" s="10"/>
    </row>
    <row r="80" spans="1:40" x14ac:dyDescent="0.25">
      <c r="F80" s="43"/>
      <c r="G80" s="43"/>
      <c r="H80" s="43"/>
      <c r="I80" s="43"/>
      <c r="J80" s="43"/>
      <c r="K80" s="43"/>
      <c r="L80" s="43"/>
      <c r="M80" s="43"/>
      <c r="N80" s="43"/>
      <c r="O80" s="43"/>
      <c r="P80" s="43"/>
      <c r="Q80" s="43"/>
      <c r="R80" s="43"/>
      <c r="S80" s="43"/>
      <c r="T80" s="43"/>
      <c r="U80" s="43"/>
      <c r="V80" s="43"/>
      <c r="W80" s="43"/>
      <c r="X80" s="43"/>
      <c r="Y80" s="43"/>
      <c r="Z80" s="43"/>
      <c r="AA80" s="43"/>
      <c r="AB80" s="43"/>
      <c r="AC80" s="43"/>
    </row>
    <row r="81" spans="4:29" x14ac:dyDescent="0.25">
      <c r="D81" s="59"/>
      <c r="E81" s="59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</row>
    <row r="82" spans="4:29" x14ac:dyDescent="0.25">
      <c r="F82" s="59"/>
      <c r="G82" s="59"/>
      <c r="H82" s="59"/>
      <c r="I82" s="59"/>
      <c r="J82" s="59"/>
      <c r="K82" s="59"/>
      <c r="L82" s="59"/>
      <c r="M82" s="59"/>
      <c r="N82" s="59"/>
      <c r="O82" s="59"/>
      <c r="P82" s="59"/>
      <c r="Q82" s="59"/>
      <c r="R82" s="59"/>
      <c r="S82" s="59"/>
      <c r="T82" s="59"/>
      <c r="U82" s="59"/>
      <c r="V82" s="59"/>
      <c r="W82" s="59"/>
      <c r="X82" s="59"/>
      <c r="Y82" s="59"/>
      <c r="Z82" s="59"/>
      <c r="AA82" s="59"/>
      <c r="AB82" s="59"/>
      <c r="AC82" s="59"/>
    </row>
    <row r="86" spans="4:29" x14ac:dyDescent="0.25">
      <c r="H86" s="10"/>
      <c r="K86" s="111"/>
      <c r="L86" s="111"/>
      <c r="M86" s="111"/>
      <c r="N86" s="111"/>
      <c r="O86" s="111"/>
      <c r="P86" s="111"/>
      <c r="Q86" s="111"/>
      <c r="R86" s="111"/>
      <c r="S86" s="111"/>
      <c r="T86" s="111"/>
      <c r="U86" s="111"/>
      <c r="V86" s="111"/>
      <c r="W86" s="111"/>
      <c r="X86" s="111"/>
      <c r="Y86" s="111"/>
      <c r="Z86" s="111"/>
      <c r="AA86" s="111"/>
      <c r="AB86" s="111"/>
      <c r="AC86" s="111"/>
    </row>
    <row r="88" spans="4:29" x14ac:dyDescent="0.25">
      <c r="L88" s="103"/>
    </row>
    <row r="91" spans="4:29" x14ac:dyDescent="0.25"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  <c r="AA91" s="10"/>
      <c r="AB91" s="10"/>
      <c r="AC91" s="10"/>
    </row>
  </sheetData>
  <pageMargins left="0.25" right="0.25" top="0.25" bottom="0.25" header="0.3" footer="0.3"/>
  <pageSetup scale="50" orientation="landscape" r:id="rId1"/>
  <drawing r:id="rId2"/>
  <legacyDrawing r:id="rId3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7DBA2D-2224-401E-BE24-68109E37788D}">
  <sheetPr>
    <pageSetUpPr fitToPage="1"/>
  </sheetPr>
  <dimension ref="A1:AN91"/>
  <sheetViews>
    <sheetView workbookViewId="0">
      <pane xSplit="1" ySplit="3" topLeftCell="B37" activePane="bottomRight" state="frozen"/>
      <selection pane="topRight" activeCell="B1" sqref="B1"/>
      <selection pane="bottomLeft" activeCell="A4" sqref="A4"/>
      <selection pane="bottomRight" activeCell="M7" sqref="M7:M8"/>
    </sheetView>
  </sheetViews>
  <sheetFormatPr defaultRowHeight="15" x14ac:dyDescent="0.25"/>
  <cols>
    <col min="1" max="1" width="42.7109375" bestFit="1" customWidth="1"/>
    <col min="2" max="2" width="3.7109375" customWidth="1"/>
    <col min="3" max="3" width="11.5703125" hidden="1" customWidth="1"/>
    <col min="4" max="4" width="9.5703125" hidden="1" customWidth="1"/>
    <col min="5" max="5" width="10.5703125" hidden="1" customWidth="1"/>
    <col min="6" max="6" width="10" hidden="1" customWidth="1"/>
    <col min="7" max="7" width="9.42578125" hidden="1" customWidth="1"/>
    <col min="8" max="10" width="8.5703125" hidden="1" customWidth="1"/>
    <col min="11" max="11" width="9.42578125" hidden="1" customWidth="1"/>
    <col min="12" max="12" width="8.5703125" hidden="1" customWidth="1"/>
    <col min="13" max="15" width="8.5703125" customWidth="1"/>
    <col min="16" max="17" width="8.5703125" style="50" customWidth="1"/>
    <col min="18" max="29" width="8.5703125" customWidth="1"/>
  </cols>
  <sheetData>
    <row r="1" spans="1:34" ht="23.25" customHeight="1" x14ac:dyDescent="0.4">
      <c r="A1" s="19" t="s">
        <v>22</v>
      </c>
      <c r="M1" s="50"/>
      <c r="N1" s="50"/>
      <c r="O1" s="50"/>
    </row>
    <row r="2" spans="1:34" ht="18.75" x14ac:dyDescent="0.3">
      <c r="A2" s="20" t="s">
        <v>84</v>
      </c>
      <c r="G2" s="10"/>
      <c r="H2" s="79"/>
      <c r="I2" s="79"/>
      <c r="J2" s="79"/>
      <c r="K2" s="79"/>
      <c r="L2" s="79"/>
      <c r="N2" s="138"/>
      <c r="O2" s="156"/>
      <c r="P2" s="165" t="s">
        <v>79</v>
      </c>
      <c r="Q2" s="180" t="s">
        <v>57</v>
      </c>
    </row>
    <row r="3" spans="1:34" x14ac:dyDescent="0.25">
      <c r="A3" t="s">
        <v>28</v>
      </c>
      <c r="C3" s="14">
        <v>2009</v>
      </c>
      <c r="D3" s="14">
        <v>2010</v>
      </c>
      <c r="E3" s="14">
        <v>2011</v>
      </c>
      <c r="F3" s="14">
        <v>2012</v>
      </c>
      <c r="G3" s="14">
        <f t="shared" ref="G3:V3" si="0">+F3+1</f>
        <v>2013</v>
      </c>
      <c r="H3" s="14">
        <f t="shared" si="0"/>
        <v>2014</v>
      </c>
      <c r="I3" s="14">
        <f t="shared" si="0"/>
        <v>2015</v>
      </c>
      <c r="J3" s="14">
        <f t="shared" si="0"/>
        <v>2016</v>
      </c>
      <c r="K3" s="14">
        <f t="shared" si="0"/>
        <v>2017</v>
      </c>
      <c r="L3" s="14">
        <f t="shared" si="0"/>
        <v>2018</v>
      </c>
      <c r="M3" s="14">
        <f t="shared" si="0"/>
        <v>2019</v>
      </c>
      <c r="N3" s="14">
        <f t="shared" si="0"/>
        <v>2020</v>
      </c>
      <c r="O3" s="14">
        <f t="shared" si="0"/>
        <v>2021</v>
      </c>
      <c r="P3" s="166">
        <f t="shared" si="0"/>
        <v>2022</v>
      </c>
      <c r="Q3" s="181">
        <f t="shared" si="0"/>
        <v>2023</v>
      </c>
      <c r="R3" s="14">
        <f t="shared" si="0"/>
        <v>2024</v>
      </c>
      <c r="S3" s="14">
        <f t="shared" si="0"/>
        <v>2025</v>
      </c>
      <c r="T3" s="14">
        <f t="shared" si="0"/>
        <v>2026</v>
      </c>
      <c r="U3" s="14">
        <f t="shared" si="0"/>
        <v>2027</v>
      </c>
      <c r="V3" s="14">
        <f t="shared" si="0"/>
        <v>2028</v>
      </c>
      <c r="W3" s="14">
        <f>+V3+1</f>
        <v>2029</v>
      </c>
      <c r="X3" s="14">
        <f>+W3+1</f>
        <v>2030</v>
      </c>
      <c r="Y3" s="14">
        <f t="shared" ref="Y3:AH3" si="1">+X3+1</f>
        <v>2031</v>
      </c>
      <c r="Z3" s="14">
        <f t="shared" si="1"/>
        <v>2032</v>
      </c>
      <c r="AA3" s="14">
        <f t="shared" si="1"/>
        <v>2033</v>
      </c>
      <c r="AB3" s="14">
        <f t="shared" si="1"/>
        <v>2034</v>
      </c>
      <c r="AC3" s="14">
        <f t="shared" si="1"/>
        <v>2035</v>
      </c>
      <c r="AD3" s="14">
        <f t="shared" si="1"/>
        <v>2036</v>
      </c>
      <c r="AE3" s="14">
        <f t="shared" si="1"/>
        <v>2037</v>
      </c>
      <c r="AF3" s="14">
        <f t="shared" si="1"/>
        <v>2038</v>
      </c>
      <c r="AG3" s="14">
        <f t="shared" si="1"/>
        <v>2039</v>
      </c>
      <c r="AH3" s="14">
        <f t="shared" si="1"/>
        <v>2040</v>
      </c>
    </row>
    <row r="4" spans="1:34" x14ac:dyDescent="0.25">
      <c r="P4" s="161"/>
      <c r="Q4" s="149"/>
    </row>
    <row r="5" spans="1:34" s="4" customFormat="1" x14ac:dyDescent="0.25">
      <c r="A5" s="104" t="s">
        <v>50</v>
      </c>
      <c r="C5" s="43">
        <v>332</v>
      </c>
      <c r="D5" s="43">
        <f>+C5+D6</f>
        <v>379</v>
      </c>
      <c r="E5" s="43">
        <f t="shared" ref="E5:AH5" si="2">+D5+E6</f>
        <v>424</v>
      </c>
      <c r="F5" s="43">
        <f t="shared" si="2"/>
        <v>468</v>
      </c>
      <c r="G5" s="43">
        <f t="shared" si="2"/>
        <v>510</v>
      </c>
      <c r="H5" s="43">
        <f t="shared" si="2"/>
        <v>544</v>
      </c>
      <c r="I5" s="43">
        <f t="shared" si="2"/>
        <v>581</v>
      </c>
      <c r="J5" s="43">
        <f t="shared" si="2"/>
        <v>615</v>
      </c>
      <c r="K5" s="43">
        <f t="shared" si="2"/>
        <v>671</v>
      </c>
      <c r="L5" s="43">
        <f t="shared" si="2"/>
        <v>717</v>
      </c>
      <c r="M5" s="43">
        <v>764</v>
      </c>
      <c r="N5">
        <v>820</v>
      </c>
      <c r="O5">
        <v>884</v>
      </c>
      <c r="P5" s="161">
        <v>937</v>
      </c>
      <c r="Q5" s="182">
        <v>970</v>
      </c>
      <c r="R5" s="4">
        <f t="shared" si="2"/>
        <v>1012</v>
      </c>
      <c r="S5" s="4">
        <f t="shared" si="2"/>
        <v>1054</v>
      </c>
      <c r="T5" s="4">
        <f t="shared" si="2"/>
        <v>1096</v>
      </c>
      <c r="U5" s="4">
        <f t="shared" si="2"/>
        <v>1138</v>
      </c>
      <c r="V5" s="4">
        <f t="shared" si="2"/>
        <v>1180</v>
      </c>
      <c r="W5" s="4">
        <f t="shared" si="2"/>
        <v>1222</v>
      </c>
      <c r="X5" s="4">
        <f t="shared" si="2"/>
        <v>1264</v>
      </c>
      <c r="Y5" s="4">
        <f t="shared" si="2"/>
        <v>1306</v>
      </c>
      <c r="Z5" s="4">
        <f t="shared" si="2"/>
        <v>1348</v>
      </c>
      <c r="AA5" s="4">
        <f t="shared" si="2"/>
        <v>1390</v>
      </c>
      <c r="AB5" s="4">
        <f t="shared" si="2"/>
        <v>1416</v>
      </c>
      <c r="AC5" s="4">
        <f t="shared" si="2"/>
        <v>1416</v>
      </c>
      <c r="AD5" s="4">
        <f t="shared" si="2"/>
        <v>1416</v>
      </c>
      <c r="AE5" s="4">
        <f t="shared" si="2"/>
        <v>1416</v>
      </c>
      <c r="AF5" s="4">
        <f t="shared" si="2"/>
        <v>1416</v>
      </c>
      <c r="AG5" s="4">
        <f t="shared" si="2"/>
        <v>1416</v>
      </c>
      <c r="AH5" s="4">
        <f t="shared" si="2"/>
        <v>1416</v>
      </c>
    </row>
    <row r="6" spans="1:34" x14ac:dyDescent="0.25">
      <c r="A6" s="1" t="s">
        <v>68</v>
      </c>
      <c r="D6" s="3">
        <v>47</v>
      </c>
      <c r="E6" s="3">
        <v>45</v>
      </c>
      <c r="F6" s="3">
        <v>44</v>
      </c>
      <c r="G6" s="3">
        <v>42</v>
      </c>
      <c r="H6" s="3">
        <v>34</v>
      </c>
      <c r="I6" s="3">
        <v>37</v>
      </c>
      <c r="J6" s="3">
        <v>34</v>
      </c>
      <c r="K6" s="3">
        <v>56</v>
      </c>
      <c r="L6" s="3">
        <v>46</v>
      </c>
      <c r="M6" s="3">
        <f>+M5-L5</f>
        <v>47</v>
      </c>
      <c r="N6" s="139">
        <f>N5-M5</f>
        <v>56</v>
      </c>
      <c r="O6" s="139">
        <f>O5-N5</f>
        <v>64</v>
      </c>
      <c r="P6" s="162">
        <f>P5-O5</f>
        <v>53</v>
      </c>
      <c r="Q6" s="183">
        <f>Q5-P5</f>
        <v>33</v>
      </c>
      <c r="R6" s="3">
        <v>42</v>
      </c>
      <c r="S6" s="3">
        <v>42</v>
      </c>
      <c r="T6" s="3">
        <v>42</v>
      </c>
      <c r="U6" s="3">
        <v>42</v>
      </c>
      <c r="V6" s="3">
        <v>42</v>
      </c>
      <c r="W6" s="3">
        <v>42</v>
      </c>
      <c r="X6" s="3">
        <v>42</v>
      </c>
      <c r="Y6" s="3">
        <v>42</v>
      </c>
      <c r="Z6" s="3">
        <v>42</v>
      </c>
      <c r="AA6" s="3">
        <v>42</v>
      </c>
      <c r="AB6" s="3">
        <v>26</v>
      </c>
      <c r="AC6" s="3">
        <v>0</v>
      </c>
      <c r="AD6" s="3">
        <v>0</v>
      </c>
      <c r="AE6" s="3">
        <v>0</v>
      </c>
      <c r="AF6" s="3">
        <v>0</v>
      </c>
      <c r="AG6" s="3">
        <v>0</v>
      </c>
      <c r="AH6" s="3">
        <v>0</v>
      </c>
    </row>
    <row r="7" spans="1:34" s="105" customFormat="1" x14ac:dyDescent="0.25">
      <c r="A7" s="105" t="s">
        <v>32</v>
      </c>
      <c r="D7" s="106">
        <f>+D8/C8-1</f>
        <v>9.8654708520179435E-2</v>
      </c>
      <c r="E7" s="106">
        <v>0</v>
      </c>
      <c r="F7" s="106">
        <v>0.05</v>
      </c>
      <c r="G7" s="106">
        <v>0.05</v>
      </c>
      <c r="H7" s="107">
        <v>0.05</v>
      </c>
      <c r="I7" s="107">
        <v>0.05</v>
      </c>
      <c r="J7" s="107">
        <v>0.05</v>
      </c>
      <c r="K7" s="107">
        <v>0</v>
      </c>
      <c r="L7" s="107">
        <v>0.05</v>
      </c>
      <c r="M7" s="107">
        <v>0.05</v>
      </c>
      <c r="N7" s="107">
        <f>+N8/M8-1</f>
        <v>4.9999999999999822E-2</v>
      </c>
      <c r="O7" s="107">
        <f t="shared" ref="O7:AH7" si="3">+O8/N8-1</f>
        <v>5.0000000000000044E-2</v>
      </c>
      <c r="P7" s="108">
        <f t="shared" si="3"/>
        <v>5.0000000000000044E-2</v>
      </c>
      <c r="Q7" s="109">
        <f t="shared" si="3"/>
        <v>5.0000000000000044E-2</v>
      </c>
      <c r="R7" s="110">
        <f t="shared" si="3"/>
        <v>5.0000000000000044E-2</v>
      </c>
      <c r="S7" s="110">
        <f t="shared" si="3"/>
        <v>5.0000000000000044E-2</v>
      </c>
      <c r="T7" s="110">
        <f t="shared" si="3"/>
        <v>5.0000000000000044E-2</v>
      </c>
      <c r="U7" s="110">
        <f t="shared" si="3"/>
        <v>5.0000000000000044E-2</v>
      </c>
      <c r="V7" s="110">
        <f t="shared" si="3"/>
        <v>5.0000000000000044E-2</v>
      </c>
      <c r="W7" s="110">
        <f t="shared" si="3"/>
        <v>5.0000000000000044E-2</v>
      </c>
      <c r="X7" s="110">
        <f t="shared" si="3"/>
        <v>5.0000000000000044E-2</v>
      </c>
      <c r="Y7" s="110">
        <f t="shared" si="3"/>
        <v>5.0000000000000044E-2</v>
      </c>
      <c r="Z7" s="110">
        <f t="shared" si="3"/>
        <v>5.0000000000000044E-2</v>
      </c>
      <c r="AA7" s="110">
        <f t="shared" si="3"/>
        <v>3.5718739418019396E-2</v>
      </c>
      <c r="AB7" s="110">
        <f t="shared" si="3"/>
        <v>2.5000000000000133E-2</v>
      </c>
      <c r="AC7" s="110">
        <f t="shared" si="3"/>
        <v>2.5000000000000133E-2</v>
      </c>
      <c r="AD7" s="110">
        <f t="shared" si="3"/>
        <v>2.4999999999999911E-2</v>
      </c>
      <c r="AE7" s="110">
        <f t="shared" si="3"/>
        <v>2.4999999999999911E-2</v>
      </c>
      <c r="AF7" s="110">
        <f t="shared" si="3"/>
        <v>2.4999999999999911E-2</v>
      </c>
      <c r="AG7" s="110">
        <f t="shared" si="3"/>
        <v>2.5000000000000133E-2</v>
      </c>
      <c r="AH7" s="110">
        <f t="shared" si="3"/>
        <v>2.4999999999999911E-2</v>
      </c>
    </row>
    <row r="8" spans="1:34" x14ac:dyDescent="0.25">
      <c r="A8" t="s">
        <v>3</v>
      </c>
      <c r="C8" s="3">
        <f>55.75*12</f>
        <v>669</v>
      </c>
      <c r="D8" s="3">
        <v>735</v>
      </c>
      <c r="E8" s="3">
        <v>735</v>
      </c>
      <c r="F8" s="121">
        <v>772</v>
      </c>
      <c r="G8" s="121">
        <v>810</v>
      </c>
      <c r="H8" s="122">
        <v>850</v>
      </c>
      <c r="I8" s="122">
        <v>892</v>
      </c>
      <c r="J8" s="122">
        <v>936</v>
      </c>
      <c r="K8" s="122">
        <v>936</v>
      </c>
      <c r="L8" s="122">
        <v>984</v>
      </c>
      <c r="M8" s="122">
        <v>1032</v>
      </c>
      <c r="N8" s="122">
        <v>1083.5999999999999</v>
      </c>
      <c r="O8" s="122">
        <f t="shared" ref="O8:AH8" si="4">IF(M45=0,N8,MIN(1.05*N8,1200*1.025^(O3-$F3)))</f>
        <v>1137.78</v>
      </c>
      <c r="P8" s="163">
        <f t="shared" si="4"/>
        <v>1194.6690000000001</v>
      </c>
      <c r="Q8" s="182">
        <f t="shared" si="4"/>
        <v>1254.40245</v>
      </c>
      <c r="R8" s="4">
        <f t="shared" si="4"/>
        <v>1317.1225725000002</v>
      </c>
      <c r="S8" s="4">
        <f t="shared" si="4"/>
        <v>1382.9787011250003</v>
      </c>
      <c r="T8" s="4">
        <f t="shared" si="4"/>
        <v>1452.1276361812504</v>
      </c>
      <c r="U8" s="4">
        <f t="shared" si="4"/>
        <v>1524.7340179903131</v>
      </c>
      <c r="V8" s="4">
        <f t="shared" si="4"/>
        <v>1600.9707188898287</v>
      </c>
      <c r="W8" s="4">
        <f t="shared" si="4"/>
        <v>1681.0192548343202</v>
      </c>
      <c r="X8" s="4">
        <f t="shared" si="4"/>
        <v>1765.0702175760364</v>
      </c>
      <c r="Y8" s="4">
        <f t="shared" si="4"/>
        <v>1853.3237284548384</v>
      </c>
      <c r="Z8" s="4">
        <f t="shared" si="4"/>
        <v>1945.9899148775803</v>
      </c>
      <c r="AA8" s="4">
        <f t="shared" si="4"/>
        <v>2015.4982215571863</v>
      </c>
      <c r="AB8" s="4">
        <f t="shared" si="4"/>
        <v>2065.8856770961161</v>
      </c>
      <c r="AC8" s="4">
        <f t="shared" si="4"/>
        <v>2117.5328190235191</v>
      </c>
      <c r="AD8" s="4">
        <f t="shared" si="4"/>
        <v>2170.4711394991068</v>
      </c>
      <c r="AE8" s="4">
        <f t="shared" si="4"/>
        <v>2224.7329179865842</v>
      </c>
      <c r="AF8" s="4">
        <f t="shared" si="4"/>
        <v>2280.3512409362484</v>
      </c>
      <c r="AG8" s="4">
        <f t="shared" si="4"/>
        <v>2337.3600219596547</v>
      </c>
      <c r="AH8" s="4">
        <f t="shared" si="4"/>
        <v>2395.7940225086459</v>
      </c>
    </row>
    <row r="9" spans="1:34" x14ac:dyDescent="0.25">
      <c r="A9" t="s">
        <v>4</v>
      </c>
      <c r="E9" s="44"/>
      <c r="F9" s="51"/>
      <c r="G9" s="44"/>
      <c r="H9" s="44"/>
      <c r="I9" s="44"/>
      <c r="J9" s="51"/>
      <c r="K9" s="51"/>
      <c r="L9" s="51">
        <v>2.5000000000000001E-2</v>
      </c>
      <c r="M9" s="51">
        <f t="shared" ref="M9:AH9" si="5">+L9</f>
        <v>2.5000000000000001E-2</v>
      </c>
      <c r="N9" s="51">
        <f t="shared" si="5"/>
        <v>2.5000000000000001E-2</v>
      </c>
      <c r="O9" s="51">
        <f t="shared" si="5"/>
        <v>2.5000000000000001E-2</v>
      </c>
      <c r="P9" s="97">
        <v>0.06</v>
      </c>
      <c r="Q9" s="47">
        <v>0.03</v>
      </c>
      <c r="R9" s="17">
        <f>+Q9</f>
        <v>0.03</v>
      </c>
      <c r="S9" s="17">
        <f t="shared" si="5"/>
        <v>0.03</v>
      </c>
      <c r="T9" s="17">
        <f t="shared" si="5"/>
        <v>0.03</v>
      </c>
      <c r="U9" s="17">
        <f t="shared" si="5"/>
        <v>0.03</v>
      </c>
      <c r="V9" s="17">
        <f t="shared" si="5"/>
        <v>0.03</v>
      </c>
      <c r="W9" s="17">
        <f t="shared" si="5"/>
        <v>0.03</v>
      </c>
      <c r="X9" s="17">
        <f t="shared" si="5"/>
        <v>0.03</v>
      </c>
      <c r="Y9" s="17">
        <f t="shared" si="5"/>
        <v>0.03</v>
      </c>
      <c r="Z9" s="17">
        <f t="shared" si="5"/>
        <v>0.03</v>
      </c>
      <c r="AA9" s="17">
        <f t="shared" si="5"/>
        <v>0.03</v>
      </c>
      <c r="AB9" s="17">
        <f t="shared" si="5"/>
        <v>0.03</v>
      </c>
      <c r="AC9" s="17">
        <f t="shared" si="5"/>
        <v>0.03</v>
      </c>
      <c r="AD9" s="17">
        <f t="shared" si="5"/>
        <v>0.03</v>
      </c>
      <c r="AE9" s="17">
        <f t="shared" si="5"/>
        <v>0.03</v>
      </c>
      <c r="AF9" s="17">
        <f t="shared" si="5"/>
        <v>0.03</v>
      </c>
      <c r="AG9" s="17">
        <f t="shared" si="5"/>
        <v>0.03</v>
      </c>
      <c r="AH9" s="17">
        <f t="shared" si="5"/>
        <v>0.03</v>
      </c>
    </row>
    <row r="10" spans="1:34" x14ac:dyDescent="0.25">
      <c r="A10" t="s">
        <v>24</v>
      </c>
      <c r="E10" s="45"/>
      <c r="F10" s="45"/>
      <c r="G10" s="45"/>
      <c r="H10" s="45"/>
      <c r="I10" s="45"/>
      <c r="J10" s="45"/>
      <c r="K10" s="45"/>
      <c r="L10" s="45">
        <v>0</v>
      </c>
      <c r="M10" s="45">
        <v>0</v>
      </c>
      <c r="N10" s="45">
        <v>0</v>
      </c>
      <c r="O10" s="45">
        <v>0</v>
      </c>
      <c r="P10" s="167">
        <v>0</v>
      </c>
      <c r="Q10" s="150">
        <v>0</v>
      </c>
      <c r="R10" s="16">
        <v>0</v>
      </c>
      <c r="S10" s="16">
        <v>0</v>
      </c>
      <c r="T10" s="16">
        <v>0</v>
      </c>
      <c r="U10" s="16">
        <v>0</v>
      </c>
      <c r="V10" s="16">
        <v>0</v>
      </c>
      <c r="W10" s="16">
        <v>0</v>
      </c>
      <c r="X10" s="16">
        <v>0</v>
      </c>
      <c r="Y10" s="16">
        <v>0</v>
      </c>
      <c r="Z10" s="16">
        <v>0</v>
      </c>
      <c r="AA10" s="16">
        <v>0</v>
      </c>
      <c r="AB10" s="16">
        <v>0</v>
      </c>
      <c r="AC10" s="16">
        <v>0</v>
      </c>
      <c r="AD10" s="16">
        <v>0</v>
      </c>
      <c r="AE10" s="16">
        <v>0</v>
      </c>
      <c r="AF10" s="16">
        <v>0</v>
      </c>
      <c r="AG10" s="16">
        <v>0</v>
      </c>
      <c r="AH10" s="16">
        <v>0</v>
      </c>
    </row>
    <row r="11" spans="1:34" x14ac:dyDescent="0.25">
      <c r="A11" t="s">
        <v>25</v>
      </c>
      <c r="D11" s="18">
        <v>4.2500000000000003E-2</v>
      </c>
      <c r="E11" s="46">
        <v>4.2500000000000003E-2</v>
      </c>
      <c r="F11" s="46">
        <v>4.2500000000000003E-2</v>
      </c>
      <c r="G11" s="46">
        <v>3.2500000000000001E-2</v>
      </c>
      <c r="H11" s="46">
        <v>3.2500000000000001E-2</v>
      </c>
      <c r="I11" s="46">
        <v>3.2500000000000001E-2</v>
      </c>
      <c r="J11" s="46">
        <v>3.2500000000000001E-2</v>
      </c>
      <c r="K11" s="46">
        <v>3.2500000000000001E-2</v>
      </c>
      <c r="L11" s="46">
        <v>3.2500000000000001E-2</v>
      </c>
      <c r="M11" s="46">
        <v>3.2500000000000001E-2</v>
      </c>
      <c r="N11" s="46">
        <v>3.2500000000000001E-2</v>
      </c>
      <c r="O11" s="46">
        <v>3.2500000000000001E-2</v>
      </c>
      <c r="P11" s="164">
        <v>3.2500000000000001E-2</v>
      </c>
      <c r="Q11" s="184">
        <v>3.2500000000000001E-2</v>
      </c>
      <c r="R11" s="18">
        <v>3.2500000000000001E-2</v>
      </c>
      <c r="S11" s="18">
        <v>3.2500000000000001E-2</v>
      </c>
      <c r="T11" s="18">
        <v>3.2500000000000001E-2</v>
      </c>
      <c r="U11" s="18">
        <v>3.2500000000000001E-2</v>
      </c>
      <c r="V11" s="18">
        <v>3.2500000000000001E-2</v>
      </c>
      <c r="W11" s="18">
        <v>3.2500000000000001E-2</v>
      </c>
      <c r="X11" s="18">
        <v>3.2500000000000001E-2</v>
      </c>
      <c r="Y11" s="18">
        <v>3.2500000000000001E-2</v>
      </c>
      <c r="Z11" s="18">
        <v>3.2500000000000001E-2</v>
      </c>
      <c r="AA11" s="18">
        <v>3.2500000000000001E-2</v>
      </c>
      <c r="AB11" s="18">
        <v>3.2500000000000001E-2</v>
      </c>
      <c r="AC11" s="18">
        <v>3.2500000000000001E-2</v>
      </c>
      <c r="AD11" s="18">
        <v>3.2500000000000001E-2</v>
      </c>
      <c r="AE11" s="18">
        <v>3.2500000000000001E-2</v>
      </c>
      <c r="AF11" s="18">
        <v>3.2500000000000001E-2</v>
      </c>
      <c r="AG11" s="18">
        <v>3.2500000000000001E-2</v>
      </c>
      <c r="AH11" s="18">
        <v>3.2500000000000001E-2</v>
      </c>
    </row>
    <row r="12" spans="1:34" x14ac:dyDescent="0.25">
      <c r="P12" s="161"/>
      <c r="Q12" s="149"/>
    </row>
    <row r="13" spans="1:34" x14ac:dyDescent="0.25">
      <c r="A13" s="7" t="s">
        <v>41</v>
      </c>
      <c r="I13" s="58"/>
      <c r="K13" s="58"/>
      <c r="L13" s="58"/>
      <c r="M13" s="58"/>
      <c r="P13" s="161"/>
      <c r="Q13" s="149"/>
    </row>
    <row r="14" spans="1:34" x14ac:dyDescent="0.25">
      <c r="A14" t="s">
        <v>2</v>
      </c>
      <c r="C14" s="3">
        <v>214</v>
      </c>
      <c r="D14" s="3">
        <v>267</v>
      </c>
      <c r="E14" s="3">
        <v>297</v>
      </c>
      <c r="F14" s="34">
        <v>348</v>
      </c>
      <c r="G14" s="34">
        <v>398</v>
      </c>
      <c r="H14" s="34">
        <v>447</v>
      </c>
      <c r="I14" s="3">
        <v>506</v>
      </c>
      <c r="J14" s="43">
        <v>562</v>
      </c>
      <c r="K14" s="43">
        <v>606</v>
      </c>
      <c r="L14" s="43">
        <v>680</v>
      </c>
      <c r="M14" s="43">
        <v>771.11131</v>
      </c>
      <c r="N14" s="43">
        <v>861.67862000000002</v>
      </c>
      <c r="O14" s="157">
        <v>973.96275000000003</v>
      </c>
      <c r="P14" s="168">
        <v>1103.1602600000001</v>
      </c>
      <c r="Q14" s="141">
        <v>1196.5945099999999</v>
      </c>
      <c r="R14" s="4">
        <f t="shared" ref="R14:AH14" si="6">+(R5+Q5)/2*R8/1000</f>
        <v>1305.2684693475003</v>
      </c>
      <c r="S14" s="4">
        <f t="shared" si="6"/>
        <v>1428.6169982621252</v>
      </c>
      <c r="T14" s="4">
        <f t="shared" si="6"/>
        <v>1561.0372088948441</v>
      </c>
      <c r="U14" s="4">
        <f t="shared" si="6"/>
        <v>1703.1278980951797</v>
      </c>
      <c r="V14" s="4">
        <f t="shared" si="6"/>
        <v>1855.5250631933116</v>
      </c>
      <c r="W14" s="4">
        <f t="shared" si="6"/>
        <v>2018.9041250560185</v>
      </c>
      <c r="X14" s="4">
        <f t="shared" si="6"/>
        <v>2193.9822804470132</v>
      </c>
      <c r="Y14" s="4">
        <f t="shared" si="6"/>
        <v>2381.5209910644676</v>
      </c>
      <c r="Z14" s="4">
        <f t="shared" si="6"/>
        <v>2582.328617042549</v>
      </c>
      <c r="AA14" s="4">
        <f t="shared" si="6"/>
        <v>2759.2170653117882</v>
      </c>
      <c r="AB14" s="4">
        <f t="shared" si="6"/>
        <v>2898.4376049658508</v>
      </c>
      <c r="AC14" s="4">
        <f t="shared" si="6"/>
        <v>2998.426471737303</v>
      </c>
      <c r="AD14" s="4">
        <f t="shared" si="6"/>
        <v>3073.3871335307349</v>
      </c>
      <c r="AE14" s="4">
        <f t="shared" si="6"/>
        <v>3150.2218118690034</v>
      </c>
      <c r="AF14" s="4">
        <f t="shared" si="6"/>
        <v>3228.9773571657279</v>
      </c>
      <c r="AG14" s="4">
        <f t="shared" si="6"/>
        <v>3309.7017910948707</v>
      </c>
      <c r="AH14" s="4">
        <f t="shared" si="6"/>
        <v>3392.4443358722428</v>
      </c>
    </row>
    <row r="15" spans="1:34" x14ac:dyDescent="0.25">
      <c r="A15" t="s">
        <v>5</v>
      </c>
      <c r="C15" s="3">
        <v>5</v>
      </c>
      <c r="D15" s="3">
        <v>5</v>
      </c>
      <c r="E15" s="3">
        <v>5</v>
      </c>
      <c r="F15" s="34">
        <v>5</v>
      </c>
      <c r="G15" s="34">
        <v>5</v>
      </c>
      <c r="H15" s="34">
        <v>5</v>
      </c>
      <c r="I15" s="3">
        <v>5</v>
      </c>
      <c r="J15" s="43">
        <v>6</v>
      </c>
      <c r="K15" s="43">
        <v>0</v>
      </c>
      <c r="L15" s="43">
        <f t="shared" ref="L15:AA16" si="7">+K15*(1+L$9)</f>
        <v>0</v>
      </c>
      <c r="M15" s="43">
        <f t="shared" si="7"/>
        <v>0</v>
      </c>
      <c r="N15" s="43">
        <f t="shared" si="7"/>
        <v>0</v>
      </c>
      <c r="O15" s="152">
        <f t="shared" si="7"/>
        <v>0</v>
      </c>
      <c r="P15" s="168">
        <f t="shared" si="7"/>
        <v>0</v>
      </c>
      <c r="Q15" s="141">
        <f t="shared" si="7"/>
        <v>0</v>
      </c>
      <c r="R15" s="4">
        <f t="shared" si="7"/>
        <v>0</v>
      </c>
      <c r="S15" s="4">
        <f t="shared" si="7"/>
        <v>0</v>
      </c>
      <c r="T15" s="4">
        <f t="shared" si="7"/>
        <v>0</v>
      </c>
      <c r="U15" s="4">
        <f t="shared" si="7"/>
        <v>0</v>
      </c>
      <c r="V15" s="4">
        <f t="shared" si="7"/>
        <v>0</v>
      </c>
      <c r="W15" s="4">
        <f t="shared" si="7"/>
        <v>0</v>
      </c>
      <c r="X15" s="4">
        <f t="shared" si="7"/>
        <v>0</v>
      </c>
      <c r="Y15" s="4">
        <f t="shared" si="7"/>
        <v>0</v>
      </c>
      <c r="Z15" s="4">
        <f t="shared" si="7"/>
        <v>0</v>
      </c>
      <c r="AA15" s="4">
        <f t="shared" si="7"/>
        <v>0</v>
      </c>
      <c r="AB15" s="4">
        <f t="shared" ref="AB15:AH16" si="8">+AA15*(1+AB$9)</f>
        <v>0</v>
      </c>
      <c r="AC15" s="4">
        <f t="shared" si="8"/>
        <v>0</v>
      </c>
      <c r="AD15" s="4">
        <f t="shared" si="8"/>
        <v>0</v>
      </c>
      <c r="AE15" s="4">
        <f t="shared" si="8"/>
        <v>0</v>
      </c>
      <c r="AF15" s="4">
        <f t="shared" si="8"/>
        <v>0</v>
      </c>
      <c r="AG15" s="4">
        <f t="shared" si="8"/>
        <v>0</v>
      </c>
      <c r="AH15" s="4">
        <f t="shared" si="8"/>
        <v>0</v>
      </c>
    </row>
    <row r="16" spans="1:34" x14ac:dyDescent="0.25">
      <c r="A16" t="s">
        <v>39</v>
      </c>
      <c r="C16" s="3">
        <v>4</v>
      </c>
      <c r="D16" s="3">
        <v>3</v>
      </c>
      <c r="E16" s="3">
        <v>20</v>
      </c>
      <c r="F16" s="34">
        <v>5</v>
      </c>
      <c r="G16" s="34">
        <v>5</v>
      </c>
      <c r="H16" s="34">
        <v>5</v>
      </c>
      <c r="I16" s="3">
        <v>13</v>
      </c>
      <c r="J16" s="43">
        <v>23</v>
      </c>
      <c r="K16" s="43">
        <v>30</v>
      </c>
      <c r="L16" s="43">
        <v>49</v>
      </c>
      <c r="M16" s="43">
        <v>23.773009999999999</v>
      </c>
      <c r="N16" s="43">
        <v>27.802</v>
      </c>
      <c r="O16" s="157">
        <f>0.42384+24.70509-0.62566+0.32</f>
        <v>24.823269999999997</v>
      </c>
      <c r="P16" s="168">
        <v>34.783790000000003</v>
      </c>
      <c r="Q16" s="141">
        <f>24.11+4.3225</f>
        <v>28.432499999999997</v>
      </c>
      <c r="R16" s="4">
        <f t="shared" si="7"/>
        <v>29.285474999999998</v>
      </c>
      <c r="S16" s="4">
        <f t="shared" si="7"/>
        <v>30.164039249999998</v>
      </c>
      <c r="T16" s="4">
        <f t="shared" si="7"/>
        <v>31.068960427499999</v>
      </c>
      <c r="U16" s="4">
        <f t="shared" si="7"/>
        <v>32.001029240324996</v>
      </c>
      <c r="V16" s="4">
        <f t="shared" si="7"/>
        <v>32.96106011753475</v>
      </c>
      <c r="W16" s="4">
        <f t="shared" si="7"/>
        <v>33.949891921060797</v>
      </c>
      <c r="X16" s="4">
        <f t="shared" si="7"/>
        <v>34.968388678692619</v>
      </c>
      <c r="Y16" s="4">
        <f t="shared" si="7"/>
        <v>36.017440339053401</v>
      </c>
      <c r="Z16" s="4">
        <f t="shared" si="7"/>
        <v>37.097963549225007</v>
      </c>
      <c r="AA16" s="4">
        <f t="shared" si="7"/>
        <v>38.210902455701756</v>
      </c>
      <c r="AB16" s="4">
        <f t="shared" si="8"/>
        <v>39.357229529372809</v>
      </c>
      <c r="AC16" s="4">
        <f t="shared" si="8"/>
        <v>40.537946415253991</v>
      </c>
      <c r="AD16" s="4">
        <f t="shared" si="8"/>
        <v>41.754084807711614</v>
      </c>
      <c r="AE16" s="4">
        <f t="shared" si="8"/>
        <v>43.006707351942964</v>
      </c>
      <c r="AF16" s="4">
        <f t="shared" si="8"/>
        <v>44.296908572501252</v>
      </c>
      <c r="AG16" s="4">
        <f t="shared" si="8"/>
        <v>45.625815829676291</v>
      </c>
      <c r="AH16" s="4">
        <f t="shared" si="8"/>
        <v>46.994590304566579</v>
      </c>
    </row>
    <row r="17" spans="1:34" x14ac:dyDescent="0.25">
      <c r="A17" t="s">
        <v>6</v>
      </c>
      <c r="C17" s="34">
        <v>0</v>
      </c>
      <c r="D17" s="34">
        <v>0</v>
      </c>
      <c r="E17" s="34">
        <v>0</v>
      </c>
      <c r="F17" s="34">
        <v>0</v>
      </c>
      <c r="G17" s="34">
        <v>0</v>
      </c>
      <c r="H17" s="95">
        <v>0</v>
      </c>
      <c r="I17" s="3">
        <v>0</v>
      </c>
      <c r="J17" s="43">
        <v>0</v>
      </c>
      <c r="K17" s="43">
        <v>0</v>
      </c>
      <c r="L17" s="43">
        <v>0</v>
      </c>
      <c r="M17" s="43">
        <v>0</v>
      </c>
      <c r="N17" s="43">
        <v>0</v>
      </c>
      <c r="O17" s="157">
        <f>-14.3341-1.15264</f>
        <v>-15.486739999999999</v>
      </c>
      <c r="P17" s="168">
        <v>0</v>
      </c>
      <c r="Q17" s="141">
        <v>0</v>
      </c>
      <c r="R17" s="4"/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4">
        <v>0</v>
      </c>
      <c r="AA17" s="4">
        <v>0</v>
      </c>
      <c r="AB17" s="4">
        <v>0</v>
      </c>
      <c r="AC17" s="4">
        <v>0</v>
      </c>
      <c r="AD17" s="4">
        <v>0</v>
      </c>
      <c r="AE17" s="4">
        <v>0</v>
      </c>
      <c r="AF17" s="4">
        <v>0</v>
      </c>
      <c r="AG17" s="4">
        <v>0</v>
      </c>
      <c r="AH17" s="4">
        <v>0</v>
      </c>
    </row>
    <row r="18" spans="1:34" x14ac:dyDescent="0.25">
      <c r="A18" t="s">
        <v>12</v>
      </c>
      <c r="C18" s="3">
        <f>940-77-359</f>
        <v>504</v>
      </c>
      <c r="D18" s="3">
        <v>580</v>
      </c>
      <c r="E18" s="3">
        <v>672</v>
      </c>
      <c r="F18" s="52">
        <v>696</v>
      </c>
      <c r="G18" s="52">
        <v>717</v>
      </c>
      <c r="H18" s="8">
        <v>669</v>
      </c>
      <c r="I18" s="10">
        <v>592</v>
      </c>
      <c r="J18" s="10">
        <v>573</v>
      </c>
      <c r="K18" s="10">
        <v>544</v>
      </c>
      <c r="L18" s="10">
        <v>583</v>
      </c>
      <c r="M18" s="10">
        <v>645.65287999999953</v>
      </c>
      <c r="N18" s="10">
        <v>721.51774699999999</v>
      </c>
      <c r="O18" s="10">
        <v>962.26874999999995</v>
      </c>
      <c r="P18" s="169">
        <v>1108.4684999999999</v>
      </c>
      <c r="Q18" s="39">
        <v>1088.0344600000001</v>
      </c>
      <c r="R18" s="10">
        <f>Q18*(1+R9)</f>
        <v>1120.6754938000001</v>
      </c>
      <c r="S18" s="10">
        <f t="shared" ref="S18:AH18" si="9">R18*(1+S9)</f>
        <v>1154.2957586140001</v>
      </c>
      <c r="T18" s="10">
        <f t="shared" si="9"/>
        <v>1188.9246313724202</v>
      </c>
      <c r="U18" s="10">
        <f t="shared" si="9"/>
        <v>1224.5923703135929</v>
      </c>
      <c r="V18" s="10">
        <f t="shared" si="9"/>
        <v>1261.3301414230007</v>
      </c>
      <c r="W18" s="10">
        <f t="shared" si="9"/>
        <v>1299.1700456656906</v>
      </c>
      <c r="X18" s="10">
        <f t="shared" si="9"/>
        <v>1338.1451470356615</v>
      </c>
      <c r="Y18" s="10">
        <f t="shared" si="9"/>
        <v>1378.2895014467313</v>
      </c>
      <c r="Z18" s="10">
        <f t="shared" si="9"/>
        <v>1419.6381864901332</v>
      </c>
      <c r="AA18" s="10">
        <f t="shared" si="9"/>
        <v>1462.2273320848371</v>
      </c>
      <c r="AB18" s="10">
        <f t="shared" si="9"/>
        <v>1506.0941520473823</v>
      </c>
      <c r="AC18" s="10">
        <f t="shared" si="9"/>
        <v>1551.2769766088038</v>
      </c>
      <c r="AD18" s="10">
        <f t="shared" si="9"/>
        <v>1597.8152859070681</v>
      </c>
      <c r="AE18" s="10">
        <f t="shared" si="9"/>
        <v>1645.7497444842802</v>
      </c>
      <c r="AF18" s="10">
        <f t="shared" si="9"/>
        <v>1695.1222368188087</v>
      </c>
      <c r="AG18" s="10">
        <f t="shared" si="9"/>
        <v>1745.9759039233729</v>
      </c>
      <c r="AH18" s="10">
        <f t="shared" si="9"/>
        <v>1798.355181041074</v>
      </c>
    </row>
    <row r="19" spans="1:34" x14ac:dyDescent="0.25">
      <c r="A19" t="s">
        <v>10</v>
      </c>
      <c r="C19" s="8">
        <v>22</v>
      </c>
      <c r="D19" s="8">
        <v>14</v>
      </c>
      <c r="E19" s="8">
        <v>31</v>
      </c>
      <c r="F19" s="8">
        <v>15</v>
      </c>
      <c r="G19" s="8">
        <v>18</v>
      </c>
      <c r="H19" s="8">
        <v>10</v>
      </c>
      <c r="I19" s="8">
        <v>30</v>
      </c>
      <c r="J19" s="8">
        <v>38</v>
      </c>
      <c r="K19" s="100">
        <v>31</v>
      </c>
      <c r="L19" s="100">
        <v>40</v>
      </c>
      <c r="M19" s="100">
        <v>57.382570000000122</v>
      </c>
      <c r="N19" s="100">
        <v>-2.6967100000000208</v>
      </c>
      <c r="O19" s="158">
        <v>-7.7837800000000001</v>
      </c>
      <c r="P19" s="170">
        <v>16.64461</v>
      </c>
      <c r="Q19" s="185">
        <v>-4.1572899999999997</v>
      </c>
      <c r="R19" s="9">
        <f>+Q19*(1+R$9)</f>
        <v>-4.2820086999999996</v>
      </c>
      <c r="S19" s="9">
        <f t="shared" ref="S19:AH19" si="10">+R19*(1+S$9)</f>
        <v>-4.4104689609999994</v>
      </c>
      <c r="T19" s="9">
        <f t="shared" si="10"/>
        <v>-4.5427830298299998</v>
      </c>
      <c r="U19" s="9">
        <f t="shared" si="10"/>
        <v>-4.6790665207249003</v>
      </c>
      <c r="V19" s="9">
        <f t="shared" si="10"/>
        <v>-4.8194385163466471</v>
      </c>
      <c r="W19" s="9">
        <f t="shared" si="10"/>
        <v>-4.9640216718370462</v>
      </c>
      <c r="X19" s="9">
        <f t="shared" si="10"/>
        <v>-5.1129423219921577</v>
      </c>
      <c r="Y19" s="9">
        <f t="shared" si="10"/>
        <v>-5.266330591651923</v>
      </c>
      <c r="Z19" s="9">
        <f t="shared" si="10"/>
        <v>-5.4243205094014808</v>
      </c>
      <c r="AA19" s="9">
        <f t="shared" si="10"/>
        <v>-5.5870501246835254</v>
      </c>
      <c r="AB19" s="9">
        <f t="shared" si="10"/>
        <v>-5.7546616284240315</v>
      </c>
      <c r="AC19" s="9">
        <f t="shared" si="10"/>
        <v>-5.9273014772767523</v>
      </c>
      <c r="AD19" s="9">
        <f t="shared" si="10"/>
        <v>-6.1051205215950546</v>
      </c>
      <c r="AE19" s="9">
        <f t="shared" si="10"/>
        <v>-6.2882741372429063</v>
      </c>
      <c r="AF19" s="9">
        <f t="shared" si="10"/>
        <v>-6.4769223613601934</v>
      </c>
      <c r="AG19" s="9">
        <f t="shared" si="10"/>
        <v>-6.6712300322009996</v>
      </c>
      <c r="AH19" s="9">
        <f t="shared" si="10"/>
        <v>-6.87136693316703</v>
      </c>
    </row>
    <row r="20" spans="1:34" x14ac:dyDescent="0.25">
      <c r="A20" s="6" t="s">
        <v>43</v>
      </c>
      <c r="C20" s="13">
        <f>SUM(C14:C18)</f>
        <v>727</v>
      </c>
      <c r="D20" s="35">
        <f t="shared" ref="D20:AH20" si="11">SUM(D14:D18)</f>
        <v>855</v>
      </c>
      <c r="E20" s="35">
        <f t="shared" si="11"/>
        <v>994</v>
      </c>
      <c r="F20" s="35">
        <f t="shared" si="11"/>
        <v>1054</v>
      </c>
      <c r="G20" s="35">
        <f t="shared" si="11"/>
        <v>1125</v>
      </c>
      <c r="H20" s="35">
        <f t="shared" si="11"/>
        <v>1126</v>
      </c>
      <c r="I20" s="35">
        <f t="shared" si="11"/>
        <v>1116</v>
      </c>
      <c r="J20" s="35">
        <f t="shared" si="11"/>
        <v>1164</v>
      </c>
      <c r="K20" s="35">
        <f t="shared" ref="K20:M20" si="12">SUM(K14:K19)</f>
        <v>1211</v>
      </c>
      <c r="L20" s="35">
        <f t="shared" si="12"/>
        <v>1352</v>
      </c>
      <c r="M20" s="35">
        <f t="shared" si="12"/>
        <v>1497.9197699999997</v>
      </c>
      <c r="N20" s="35">
        <f>SUM(N14:N19)</f>
        <v>1608.3016570000002</v>
      </c>
      <c r="O20" s="35">
        <f>SUM(O14:O19)</f>
        <v>1937.7842499999999</v>
      </c>
      <c r="P20" s="171">
        <f t="shared" si="11"/>
        <v>2246.41255</v>
      </c>
      <c r="Q20" s="29">
        <f t="shared" si="11"/>
        <v>2313.0614699999996</v>
      </c>
      <c r="R20" s="13">
        <f t="shared" si="11"/>
        <v>2455.2294381475003</v>
      </c>
      <c r="S20" s="13">
        <f t="shared" si="11"/>
        <v>2613.0767961261254</v>
      </c>
      <c r="T20" s="13">
        <f t="shared" si="11"/>
        <v>2781.0308006947644</v>
      </c>
      <c r="U20" s="13">
        <f t="shared" si="11"/>
        <v>2959.7212976490973</v>
      </c>
      <c r="V20" s="13">
        <f t="shared" si="11"/>
        <v>3149.8162647338468</v>
      </c>
      <c r="W20" s="13">
        <f t="shared" si="11"/>
        <v>3352.0240626427703</v>
      </c>
      <c r="X20" s="13">
        <f t="shared" si="11"/>
        <v>3567.0958161613671</v>
      </c>
      <c r="Y20" s="13">
        <f t="shared" si="11"/>
        <v>3795.8279328502522</v>
      </c>
      <c r="Z20" s="13">
        <f t="shared" si="11"/>
        <v>4039.0647670819071</v>
      </c>
      <c r="AA20" s="13">
        <f t="shared" si="11"/>
        <v>4259.6552998523275</v>
      </c>
      <c r="AB20" s="13">
        <f t="shared" si="11"/>
        <v>4443.8889865426063</v>
      </c>
      <c r="AC20" s="13">
        <f t="shared" si="11"/>
        <v>4590.2413947613604</v>
      </c>
      <c r="AD20" s="13">
        <f t="shared" si="11"/>
        <v>4712.9565042455142</v>
      </c>
      <c r="AE20" s="13">
        <f t="shared" si="11"/>
        <v>4838.9782637052267</v>
      </c>
      <c r="AF20" s="13">
        <f t="shared" si="11"/>
        <v>4968.3965025570378</v>
      </c>
      <c r="AG20" s="13">
        <f t="shared" si="11"/>
        <v>5101.3035108479198</v>
      </c>
      <c r="AH20" s="13">
        <f t="shared" si="11"/>
        <v>5237.7941072178837</v>
      </c>
    </row>
    <row r="21" spans="1:34" x14ac:dyDescent="0.25">
      <c r="A21" s="56" t="s">
        <v>53</v>
      </c>
      <c r="D21" s="55">
        <f>+D20/C20-1</f>
        <v>0.17606602475928468</v>
      </c>
      <c r="E21" s="55">
        <f t="shared" ref="E21:AH21" si="13">+E20/D20-1</f>
        <v>0.16257309941520459</v>
      </c>
      <c r="F21" s="55">
        <f t="shared" si="13"/>
        <v>6.0362173038229328E-2</v>
      </c>
      <c r="G21" s="55">
        <f t="shared" si="13"/>
        <v>6.7362428842504762E-2</v>
      </c>
      <c r="H21" s="55">
        <f t="shared" si="13"/>
        <v>8.8888888888893902E-4</v>
      </c>
      <c r="I21" s="55">
        <f t="shared" si="13"/>
        <v>-8.8809946714032417E-3</v>
      </c>
      <c r="J21" s="55">
        <f t="shared" si="13"/>
        <v>4.3010752688172005E-2</v>
      </c>
      <c r="K21" s="55">
        <f t="shared" si="13"/>
        <v>4.0378006872852312E-2</v>
      </c>
      <c r="L21" s="55">
        <f t="shared" si="13"/>
        <v>0.11643270024772923</v>
      </c>
      <c r="M21" s="55">
        <f t="shared" si="13"/>
        <v>0.10792882396449688</v>
      </c>
      <c r="N21" s="55">
        <f t="shared" si="13"/>
        <v>7.3690119598328385E-2</v>
      </c>
      <c r="O21" s="55">
        <f t="shared" si="13"/>
        <v>0.20486367813273954</v>
      </c>
      <c r="P21" s="172">
        <f t="shared" si="13"/>
        <v>0.15926865955278569</v>
      </c>
      <c r="Q21" s="57">
        <f>+Q20/P20-1</f>
        <v>2.9669047210406418E-2</v>
      </c>
      <c r="R21" s="55">
        <f t="shared" si="13"/>
        <v>6.1463117168045089E-2</v>
      </c>
      <c r="S21" s="55">
        <f t="shared" si="13"/>
        <v>6.4290267755066743E-2</v>
      </c>
      <c r="T21" s="55">
        <f t="shared" si="13"/>
        <v>6.4274423475662923E-2</v>
      </c>
      <c r="U21" s="55">
        <f t="shared" si="13"/>
        <v>6.4253332580743727E-2</v>
      </c>
      <c r="V21" s="55">
        <f t="shared" si="13"/>
        <v>6.422732006413634E-2</v>
      </c>
      <c r="W21" s="55">
        <f t="shared" si="13"/>
        <v>6.419669622412405E-2</v>
      </c>
      <c r="X21" s="55">
        <f t="shared" si="13"/>
        <v>6.4161757045691381E-2</v>
      </c>
      <c r="Y21" s="55">
        <f t="shared" si="13"/>
        <v>6.4122784606057692E-2</v>
      </c>
      <c r="Z21" s="55">
        <f t="shared" si="13"/>
        <v>6.4080047498098924E-2</v>
      </c>
      <c r="AA21" s="55">
        <f t="shared" si="13"/>
        <v>5.4614259857434844E-2</v>
      </c>
      <c r="AB21" s="55">
        <f t="shared" si="13"/>
        <v>4.3250843958351659E-2</v>
      </c>
      <c r="AC21" s="55">
        <f t="shared" si="13"/>
        <v>3.2933407801579273E-2</v>
      </c>
      <c r="AD21" s="55">
        <f t="shared" si="13"/>
        <v>2.673391199517372E-2</v>
      </c>
      <c r="AE21" s="55">
        <f t="shared" si="13"/>
        <v>2.6739427649330016E-2</v>
      </c>
      <c r="AF21" s="55">
        <f t="shared" si="13"/>
        <v>2.6744951475089929E-2</v>
      </c>
      <c r="AG21" s="55">
        <f t="shared" si="13"/>
        <v>2.6750483425080906E-2</v>
      </c>
      <c r="AH21" s="55">
        <f t="shared" si="13"/>
        <v>2.6756023451597555E-2</v>
      </c>
    </row>
    <row r="22" spans="1:34" x14ac:dyDescent="0.25">
      <c r="A22" s="7" t="s">
        <v>44</v>
      </c>
      <c r="O22" s="50"/>
      <c r="P22" s="144"/>
      <c r="Q22" s="149"/>
      <c r="R22" s="134"/>
      <c r="S22" s="134"/>
      <c r="T22" s="134"/>
    </row>
    <row r="23" spans="1:34" x14ac:dyDescent="0.25">
      <c r="A23" t="s">
        <v>40</v>
      </c>
      <c r="C23" s="8">
        <f>508-178+42</f>
        <v>372</v>
      </c>
      <c r="D23" s="8">
        <v>347</v>
      </c>
      <c r="E23" s="8">
        <f>563-229+46</f>
        <v>380</v>
      </c>
      <c r="F23" s="8">
        <f>589-252+43</f>
        <v>380</v>
      </c>
      <c r="G23" s="8">
        <f>45+565-207</f>
        <v>403</v>
      </c>
      <c r="H23" s="8">
        <f>598-221+48</f>
        <v>425</v>
      </c>
      <c r="I23" s="100">
        <f>440+51</f>
        <v>491</v>
      </c>
      <c r="J23" s="100">
        <f>405+49+4-19</f>
        <v>439</v>
      </c>
      <c r="K23" s="100">
        <f>341+38-2-22</f>
        <v>355</v>
      </c>
      <c r="L23" s="100">
        <f>380+71+3-28</f>
        <v>426</v>
      </c>
      <c r="M23" s="100">
        <v>459.32612999999975</v>
      </c>
      <c r="N23" s="100">
        <v>451.46163999999993</v>
      </c>
      <c r="O23" s="158">
        <f>779.60391-O28-314.57359+91.74474+O17</f>
        <v>499.05373000000003</v>
      </c>
      <c r="P23" s="170">
        <v>608.78737000000012</v>
      </c>
      <c r="Q23" s="185">
        <f>475.02631+93.52+5.5</f>
        <v>574.04631000000006</v>
      </c>
      <c r="R23" s="9">
        <f t="shared" ref="R23:AF24" si="14">+Q23*(1+R$9)</f>
        <v>591.26769930000012</v>
      </c>
      <c r="S23" s="9">
        <f t="shared" si="14"/>
        <v>609.00573027900009</v>
      </c>
      <c r="T23" s="9">
        <f t="shared" si="14"/>
        <v>627.27590218737009</v>
      </c>
      <c r="U23" s="9">
        <f t="shared" si="14"/>
        <v>646.09417925299124</v>
      </c>
      <c r="V23" s="9">
        <f t="shared" si="14"/>
        <v>665.47700463058095</v>
      </c>
      <c r="W23" s="9">
        <f t="shared" si="14"/>
        <v>685.44131476949838</v>
      </c>
      <c r="X23" s="9">
        <f t="shared" si="14"/>
        <v>706.00455421258334</v>
      </c>
      <c r="Y23" s="9">
        <f t="shared" si="14"/>
        <v>727.18469083896082</v>
      </c>
      <c r="Z23" s="9">
        <f t="shared" si="14"/>
        <v>749.00023156412965</v>
      </c>
      <c r="AA23" s="9">
        <f t="shared" si="14"/>
        <v>771.47023851105359</v>
      </c>
      <c r="AB23" s="9">
        <f t="shared" si="14"/>
        <v>794.61434566638525</v>
      </c>
      <c r="AC23" s="9">
        <f t="shared" si="14"/>
        <v>818.4527760363768</v>
      </c>
      <c r="AD23" s="9">
        <f t="shared" si="14"/>
        <v>843.00635931746808</v>
      </c>
      <c r="AE23" s="9">
        <f t="shared" si="14"/>
        <v>868.29655009699218</v>
      </c>
      <c r="AF23" s="9">
        <f t="shared" si="14"/>
        <v>894.34544659990195</v>
      </c>
      <c r="AG23" s="9">
        <f t="shared" ref="AD23:AH24" si="15">+AF23*(1+AG$9)</f>
        <v>921.17580999789902</v>
      </c>
      <c r="AH23" s="9">
        <f t="shared" si="15"/>
        <v>948.81108429783603</v>
      </c>
    </row>
    <row r="24" spans="1:34" x14ac:dyDescent="0.25">
      <c r="A24" t="s">
        <v>8</v>
      </c>
      <c r="C24" s="8">
        <v>772</v>
      </c>
      <c r="D24" s="8">
        <v>733</v>
      </c>
      <c r="E24" s="8">
        <v>698</v>
      </c>
      <c r="F24" s="8">
        <v>729</v>
      </c>
      <c r="G24" s="8">
        <v>748</v>
      </c>
      <c r="H24" s="8">
        <v>731</v>
      </c>
      <c r="I24" s="100">
        <v>723</v>
      </c>
      <c r="J24" s="100">
        <f>737-31</f>
        <v>706</v>
      </c>
      <c r="K24" s="100">
        <f>776-33</f>
        <v>743</v>
      </c>
      <c r="L24" s="100">
        <f>763-33</f>
        <v>730</v>
      </c>
      <c r="M24" s="100">
        <v>722.10502999999994</v>
      </c>
      <c r="N24" s="100">
        <v>632.94849999999997</v>
      </c>
      <c r="O24" s="158">
        <f>775.16508-36.53486-6.68757</f>
        <v>731.94264999999996</v>
      </c>
      <c r="P24" s="170">
        <f>906.62758-43.05812+0.25416</f>
        <v>863.82361999999989</v>
      </c>
      <c r="Q24" s="185">
        <v>940.76552000000004</v>
      </c>
      <c r="R24" s="9">
        <f t="shared" si="14"/>
        <v>968.9884856000001</v>
      </c>
      <c r="S24" s="9">
        <f t="shared" si="14"/>
        <v>998.05814016800014</v>
      </c>
      <c r="T24" s="9">
        <f t="shared" si="14"/>
        <v>1027.9998843730402</v>
      </c>
      <c r="U24" s="9">
        <f t="shared" si="14"/>
        <v>1058.8398809042314</v>
      </c>
      <c r="V24" s="9">
        <f t="shared" si="14"/>
        <v>1090.6050773313584</v>
      </c>
      <c r="W24" s="9">
        <f t="shared" si="14"/>
        <v>1123.3232296512992</v>
      </c>
      <c r="X24" s="9">
        <f t="shared" si="14"/>
        <v>1157.0229265408382</v>
      </c>
      <c r="Y24" s="9">
        <f t="shared" si="14"/>
        <v>1191.7336143370633</v>
      </c>
      <c r="Z24" s="9">
        <f t="shared" si="14"/>
        <v>1227.4856227671753</v>
      </c>
      <c r="AA24" s="9">
        <f t="shared" si="14"/>
        <v>1264.3101914501906</v>
      </c>
      <c r="AB24" s="9">
        <f t="shared" si="14"/>
        <v>1302.2394971936963</v>
      </c>
      <c r="AC24" s="9">
        <f t="shared" si="14"/>
        <v>1341.3066821095072</v>
      </c>
      <c r="AD24" s="9">
        <f t="shared" si="15"/>
        <v>1381.5458825727924</v>
      </c>
      <c r="AE24" s="9">
        <f t="shared" si="15"/>
        <v>1422.9922590499762</v>
      </c>
      <c r="AF24" s="9">
        <f t="shared" si="15"/>
        <v>1465.6820268214756</v>
      </c>
      <c r="AG24" s="9">
        <f t="shared" si="15"/>
        <v>1509.6524876261199</v>
      </c>
      <c r="AH24" s="9">
        <f t="shared" si="15"/>
        <v>1554.9420622549035</v>
      </c>
    </row>
    <row r="25" spans="1:34" x14ac:dyDescent="0.25">
      <c r="A25" t="s">
        <v>30</v>
      </c>
      <c r="C25" s="8">
        <v>0</v>
      </c>
      <c r="D25" s="8">
        <v>0</v>
      </c>
      <c r="E25" s="8">
        <v>0</v>
      </c>
      <c r="F25" s="8">
        <v>0</v>
      </c>
      <c r="G25" s="8">
        <v>0</v>
      </c>
      <c r="H25" s="8">
        <v>0</v>
      </c>
      <c r="I25" s="100">
        <f t="shared" ref="I25:AH25" si="16">+H25*(1+I9)</f>
        <v>0</v>
      </c>
      <c r="J25" s="100">
        <f t="shared" si="16"/>
        <v>0</v>
      </c>
      <c r="K25" s="100">
        <f t="shared" si="16"/>
        <v>0</v>
      </c>
      <c r="L25" s="100">
        <f t="shared" si="16"/>
        <v>0</v>
      </c>
      <c r="M25" s="100">
        <f t="shared" si="16"/>
        <v>0</v>
      </c>
      <c r="N25" s="100">
        <f t="shared" si="16"/>
        <v>0</v>
      </c>
      <c r="O25" s="158">
        <f t="shared" si="16"/>
        <v>0</v>
      </c>
      <c r="P25" s="170">
        <f>+O25*(1+P9)</f>
        <v>0</v>
      </c>
      <c r="Q25" s="185">
        <f t="shared" si="16"/>
        <v>0</v>
      </c>
      <c r="R25" s="9">
        <f t="shared" si="16"/>
        <v>0</v>
      </c>
      <c r="S25" s="9">
        <f t="shared" si="16"/>
        <v>0</v>
      </c>
      <c r="T25" s="9">
        <f t="shared" si="16"/>
        <v>0</v>
      </c>
      <c r="U25" s="9">
        <f t="shared" si="16"/>
        <v>0</v>
      </c>
      <c r="V25" s="9">
        <f t="shared" si="16"/>
        <v>0</v>
      </c>
      <c r="W25" s="9">
        <f t="shared" si="16"/>
        <v>0</v>
      </c>
      <c r="X25" s="9">
        <f t="shared" si="16"/>
        <v>0</v>
      </c>
      <c r="Y25" s="9">
        <f t="shared" si="16"/>
        <v>0</v>
      </c>
      <c r="Z25" s="9">
        <f t="shared" si="16"/>
        <v>0</v>
      </c>
      <c r="AA25" s="9">
        <f t="shared" si="16"/>
        <v>0</v>
      </c>
      <c r="AB25" s="9">
        <f t="shared" si="16"/>
        <v>0</v>
      </c>
      <c r="AC25" s="9">
        <f t="shared" si="16"/>
        <v>0</v>
      </c>
      <c r="AD25" s="9">
        <f t="shared" si="16"/>
        <v>0</v>
      </c>
      <c r="AE25" s="9">
        <f t="shared" si="16"/>
        <v>0</v>
      </c>
      <c r="AF25" s="9">
        <f t="shared" si="16"/>
        <v>0</v>
      </c>
      <c r="AG25" s="9">
        <f t="shared" si="16"/>
        <v>0</v>
      </c>
      <c r="AH25" s="9">
        <f t="shared" si="16"/>
        <v>0</v>
      </c>
    </row>
    <row r="26" spans="1:34" x14ac:dyDescent="0.25">
      <c r="A26" t="s">
        <v>80</v>
      </c>
      <c r="C26" s="8">
        <f>116+42-47</f>
        <v>111</v>
      </c>
      <c r="D26" s="8">
        <v>81</v>
      </c>
      <c r="E26" s="8">
        <f>98+46-57</f>
        <v>87</v>
      </c>
      <c r="F26" s="8">
        <f>111-13</f>
        <v>98</v>
      </c>
      <c r="G26" s="8">
        <f>118-3</f>
        <v>115</v>
      </c>
      <c r="H26" s="8">
        <v>111</v>
      </c>
      <c r="I26" s="100">
        <v>105</v>
      </c>
      <c r="J26" s="100">
        <v>120</v>
      </c>
      <c r="K26" s="100">
        <v>152</v>
      </c>
      <c r="L26" s="100">
        <v>114</v>
      </c>
      <c r="M26" s="100">
        <v>144.54635000000002</v>
      </c>
      <c r="N26" s="100">
        <v>111.78326999999999</v>
      </c>
      <c r="O26" s="158">
        <f>171.99479-14.525</f>
        <v>157.46978999999999</v>
      </c>
      <c r="P26" s="170">
        <v>202.46761000000001</v>
      </c>
      <c r="Q26" s="185">
        <v>219.59712999999999</v>
      </c>
      <c r="R26" s="9">
        <f t="shared" ref="R26:AF29" si="17">+Q26*(1+R$9)</f>
        <v>226.18504390000001</v>
      </c>
      <c r="S26" s="9">
        <f t="shared" si="17"/>
        <v>232.97059521700001</v>
      </c>
      <c r="T26" s="9">
        <f t="shared" si="17"/>
        <v>239.95971307351002</v>
      </c>
      <c r="U26" s="9">
        <f t="shared" si="17"/>
        <v>247.15850446571531</v>
      </c>
      <c r="V26" s="9">
        <f t="shared" si="17"/>
        <v>254.57325959968676</v>
      </c>
      <c r="W26" s="9">
        <f t="shared" si="17"/>
        <v>262.21045738767737</v>
      </c>
      <c r="X26" s="9">
        <f t="shared" si="17"/>
        <v>270.07677110930769</v>
      </c>
      <c r="Y26" s="9">
        <f t="shared" si="17"/>
        <v>278.17907424258692</v>
      </c>
      <c r="Z26" s="9">
        <f t="shared" si="17"/>
        <v>286.52444646986453</v>
      </c>
      <c r="AA26" s="9">
        <f t="shared" si="17"/>
        <v>295.12017986396046</v>
      </c>
      <c r="AB26" s="9">
        <f t="shared" si="17"/>
        <v>303.97378525987926</v>
      </c>
      <c r="AC26" s="9">
        <f t="shared" si="17"/>
        <v>313.09299881767566</v>
      </c>
      <c r="AD26" s="9">
        <f t="shared" si="17"/>
        <v>322.48578878220593</v>
      </c>
      <c r="AE26" s="9">
        <f t="shared" si="17"/>
        <v>332.16036244567209</v>
      </c>
      <c r="AF26" s="9">
        <f t="shared" si="17"/>
        <v>342.12517331904229</v>
      </c>
      <c r="AG26" s="9">
        <f t="shared" ref="AB26:AH29" si="18">+AF26*(1+AG$9)</f>
        <v>352.38892851861357</v>
      </c>
      <c r="AH26" s="9">
        <f t="shared" si="18"/>
        <v>362.96059637417198</v>
      </c>
    </row>
    <row r="27" spans="1:34" x14ac:dyDescent="0.25">
      <c r="A27" t="s">
        <v>11</v>
      </c>
      <c r="C27" s="8">
        <f>15-9</f>
        <v>6</v>
      </c>
      <c r="D27" s="8">
        <v>4</v>
      </c>
      <c r="E27" s="8">
        <v>8</v>
      </c>
      <c r="F27" s="8">
        <v>8</v>
      </c>
      <c r="G27" s="8">
        <v>13</v>
      </c>
      <c r="H27" s="8">
        <v>11</v>
      </c>
      <c r="I27" s="100">
        <v>19</v>
      </c>
      <c r="J27" s="100">
        <v>13</v>
      </c>
      <c r="K27" s="100">
        <v>11</v>
      </c>
      <c r="L27" s="100">
        <v>15</v>
      </c>
      <c r="M27" s="100">
        <v>34.178429999999992</v>
      </c>
      <c r="N27" s="100">
        <v>32.128859999999996</v>
      </c>
      <c r="O27" s="158">
        <v>30.137989999999999</v>
      </c>
      <c r="P27" s="170">
        <v>65.895150000000001</v>
      </c>
      <c r="Q27" s="185">
        <v>69.041749999999993</v>
      </c>
      <c r="R27" s="9">
        <f t="shared" si="17"/>
        <v>71.113002499999993</v>
      </c>
      <c r="S27" s="9">
        <f t="shared" si="17"/>
        <v>73.246392575000002</v>
      </c>
      <c r="T27" s="9">
        <f t="shared" si="17"/>
        <v>75.443784352250006</v>
      </c>
      <c r="U27" s="9">
        <f t="shared" si="17"/>
        <v>77.707097882817507</v>
      </c>
      <c r="V27" s="9">
        <f t="shared" si="17"/>
        <v>80.03831081930204</v>
      </c>
      <c r="W27" s="9">
        <f t="shared" si="17"/>
        <v>82.439460143881107</v>
      </c>
      <c r="X27" s="9">
        <f t="shared" si="17"/>
        <v>84.912643948197541</v>
      </c>
      <c r="Y27" s="9">
        <f t="shared" si="17"/>
        <v>87.460023266643475</v>
      </c>
      <c r="Z27" s="9">
        <f t="shared" si="17"/>
        <v>90.083823964642775</v>
      </c>
      <c r="AA27" s="9">
        <f t="shared" si="17"/>
        <v>92.786338683582059</v>
      </c>
      <c r="AB27" s="9">
        <f t="shared" si="17"/>
        <v>95.569928844089517</v>
      </c>
      <c r="AC27" s="9">
        <f t="shared" si="17"/>
        <v>98.437026709412208</v>
      </c>
      <c r="AD27" s="9">
        <f t="shared" si="17"/>
        <v>101.39013751069457</v>
      </c>
      <c r="AE27" s="9">
        <f t="shared" si="17"/>
        <v>104.43184163601541</v>
      </c>
      <c r="AF27" s="9">
        <f t="shared" si="18"/>
        <v>107.56479688509587</v>
      </c>
      <c r="AG27" s="9">
        <f t="shared" si="18"/>
        <v>110.79174079164875</v>
      </c>
      <c r="AH27" s="9">
        <f t="shared" si="18"/>
        <v>114.11549301539821</v>
      </c>
    </row>
    <row r="28" spans="1:34" x14ac:dyDescent="0.25">
      <c r="A28" t="s">
        <v>13</v>
      </c>
      <c r="C28" s="8">
        <v>32</v>
      </c>
      <c r="D28" s="8">
        <v>29</v>
      </c>
      <c r="E28" s="8">
        <v>30</v>
      </c>
      <c r="F28" s="8">
        <v>30</v>
      </c>
      <c r="G28" s="8">
        <v>20</v>
      </c>
      <c r="H28" s="8">
        <v>22</v>
      </c>
      <c r="I28" s="100">
        <v>22</v>
      </c>
      <c r="J28" s="100">
        <v>19</v>
      </c>
      <c r="K28" s="100">
        <v>22</v>
      </c>
      <c r="L28" s="100">
        <v>28</v>
      </c>
      <c r="M28" s="100">
        <v>32.895189999999999</v>
      </c>
      <c r="N28" s="100">
        <v>44.509610000000002</v>
      </c>
      <c r="O28" s="158">
        <f>1.9+40.33459</f>
        <v>42.234589999999997</v>
      </c>
      <c r="P28" s="170">
        <f>92.06126-P29</f>
        <v>49.003140000000002</v>
      </c>
      <c r="Q28" s="185">
        <f>119.13132-Q29</f>
        <v>69.787020000000012</v>
      </c>
      <c r="R28" s="9">
        <f t="shared" si="17"/>
        <v>71.880630600000018</v>
      </c>
      <c r="S28" s="9">
        <f t="shared" si="17"/>
        <v>74.037049518000018</v>
      </c>
      <c r="T28" s="9">
        <f t="shared" si="17"/>
        <v>76.258161003540025</v>
      </c>
      <c r="U28" s="9">
        <f t="shared" si="17"/>
        <v>78.545905833646231</v>
      </c>
      <c r="V28" s="9">
        <f t="shared" si="17"/>
        <v>80.902283008655616</v>
      </c>
      <c r="W28" s="9">
        <f t="shared" si="17"/>
        <v>83.329351498915287</v>
      </c>
      <c r="X28" s="9">
        <f t="shared" si="17"/>
        <v>85.829232043882755</v>
      </c>
      <c r="Y28" s="9">
        <f t="shared" si="17"/>
        <v>88.404109005199246</v>
      </c>
      <c r="Z28" s="9">
        <f t="shared" si="17"/>
        <v>91.056232275355228</v>
      </c>
      <c r="AA28" s="9">
        <f t="shared" si="17"/>
        <v>93.787919243615889</v>
      </c>
      <c r="AB28" s="9">
        <f t="shared" si="18"/>
        <v>96.601556820924372</v>
      </c>
      <c r="AC28" s="9">
        <f t="shared" si="18"/>
        <v>99.499603525552104</v>
      </c>
      <c r="AD28" s="9">
        <f t="shared" si="18"/>
        <v>102.48459163131866</v>
      </c>
      <c r="AE28" s="9">
        <f t="shared" si="18"/>
        <v>105.55912938025823</v>
      </c>
      <c r="AF28" s="9">
        <f t="shared" si="18"/>
        <v>108.72590326166598</v>
      </c>
      <c r="AG28" s="9">
        <f t="shared" si="18"/>
        <v>111.98768035951596</v>
      </c>
      <c r="AH28" s="9">
        <f t="shared" si="18"/>
        <v>115.34731077030145</v>
      </c>
    </row>
    <row r="29" spans="1:34" x14ac:dyDescent="0.25">
      <c r="A29" t="s">
        <v>14</v>
      </c>
      <c r="C29" s="8">
        <v>42</v>
      </c>
      <c r="D29" s="8">
        <v>46</v>
      </c>
      <c r="E29" s="8">
        <v>45</v>
      </c>
      <c r="F29" s="8">
        <v>50</v>
      </c>
      <c r="G29" s="8">
        <v>42</v>
      </c>
      <c r="H29" s="8">
        <v>39</v>
      </c>
      <c r="I29" s="100">
        <v>31</v>
      </c>
      <c r="J29" s="100">
        <v>31</v>
      </c>
      <c r="K29" s="100">
        <v>33</v>
      </c>
      <c r="L29" s="100">
        <v>33</v>
      </c>
      <c r="M29" s="100">
        <v>52.671199999999999</v>
      </c>
      <c r="N29" s="100">
        <v>47.034960000000005</v>
      </c>
      <c r="O29" s="158">
        <f>6.68757+36.53486+4.35984</f>
        <v>47.582270000000001</v>
      </c>
      <c r="P29" s="170">
        <v>43.058120000000002</v>
      </c>
      <c r="Q29" s="185">
        <v>49.344299999999997</v>
      </c>
      <c r="R29" s="9">
        <f t="shared" si="17"/>
        <v>50.824629000000002</v>
      </c>
      <c r="S29" s="9">
        <f t="shared" si="17"/>
        <v>52.349367870000002</v>
      </c>
      <c r="T29" s="9">
        <f t="shared" si="17"/>
        <v>53.9198489061</v>
      </c>
      <c r="U29" s="9">
        <f t="shared" si="17"/>
        <v>55.537444373283002</v>
      </c>
      <c r="V29" s="9">
        <f t="shared" si="17"/>
        <v>57.203567704481493</v>
      </c>
      <c r="W29" s="9">
        <f t="shared" si="17"/>
        <v>58.919674735615942</v>
      </c>
      <c r="X29" s="9">
        <f t="shared" si="17"/>
        <v>60.687264977684421</v>
      </c>
      <c r="Y29" s="9">
        <f t="shared" si="17"/>
        <v>62.507882927014954</v>
      </c>
      <c r="Z29" s="9">
        <f t="shared" si="17"/>
        <v>64.383119414825401</v>
      </c>
      <c r="AA29" s="9">
        <f t="shared" si="17"/>
        <v>66.31461299727016</v>
      </c>
      <c r="AB29" s="9">
        <f t="shared" si="17"/>
        <v>68.304051387188267</v>
      </c>
      <c r="AC29" s="9">
        <f t="shared" si="17"/>
        <v>70.353172928803914</v>
      </c>
      <c r="AD29" s="9">
        <f t="shared" si="18"/>
        <v>72.463768116668035</v>
      </c>
      <c r="AE29" s="9">
        <f t="shared" si="18"/>
        <v>74.637681160168071</v>
      </c>
      <c r="AF29" s="9">
        <f t="shared" si="18"/>
        <v>76.87681159497312</v>
      </c>
      <c r="AG29" s="9">
        <f t="shared" si="18"/>
        <v>79.183115942822312</v>
      </c>
      <c r="AH29" s="9">
        <f t="shared" si="18"/>
        <v>81.558609421106979</v>
      </c>
    </row>
    <row r="30" spans="1:34" s="6" customFormat="1" x14ac:dyDescent="0.25">
      <c r="A30" s="6" t="s">
        <v>45</v>
      </c>
      <c r="C30" s="12">
        <f t="shared" ref="C30:AH30" si="19">SUM(C23:C29)</f>
        <v>1335</v>
      </c>
      <c r="D30" s="12">
        <f t="shared" si="19"/>
        <v>1240</v>
      </c>
      <c r="E30" s="12">
        <f t="shared" si="19"/>
        <v>1248</v>
      </c>
      <c r="F30" s="12">
        <f t="shared" si="19"/>
        <v>1295</v>
      </c>
      <c r="G30" s="12">
        <f t="shared" si="19"/>
        <v>1341</v>
      </c>
      <c r="H30" s="12">
        <f t="shared" si="19"/>
        <v>1339</v>
      </c>
      <c r="I30" s="12">
        <f t="shared" si="19"/>
        <v>1391</v>
      </c>
      <c r="J30" s="12">
        <f t="shared" si="19"/>
        <v>1328</v>
      </c>
      <c r="K30" s="12">
        <f t="shared" si="19"/>
        <v>1316</v>
      </c>
      <c r="L30" s="12">
        <f t="shared" si="19"/>
        <v>1346</v>
      </c>
      <c r="M30" s="12">
        <f t="shared" si="19"/>
        <v>1445.7223299999996</v>
      </c>
      <c r="N30" s="12">
        <f t="shared" si="19"/>
        <v>1319.8668399999999</v>
      </c>
      <c r="O30" s="12">
        <f t="shared" si="19"/>
        <v>1508.4210200000002</v>
      </c>
      <c r="P30" s="173">
        <f t="shared" si="19"/>
        <v>1833.0350100000001</v>
      </c>
      <c r="Q30" s="31">
        <f t="shared" si="19"/>
        <v>1922.5820300000003</v>
      </c>
      <c r="R30" s="12">
        <f t="shared" si="19"/>
        <v>1980.2594909000002</v>
      </c>
      <c r="S30" s="12">
        <f t="shared" si="19"/>
        <v>2039.6672756270002</v>
      </c>
      <c r="T30" s="12">
        <f t="shared" si="19"/>
        <v>2100.8572938958105</v>
      </c>
      <c r="U30" s="12">
        <f t="shared" si="19"/>
        <v>2163.8830127126848</v>
      </c>
      <c r="V30" s="12">
        <f t="shared" si="19"/>
        <v>2228.7995030940651</v>
      </c>
      <c r="W30" s="12">
        <f t="shared" si="19"/>
        <v>2295.6634881868877</v>
      </c>
      <c r="X30" s="12">
        <f t="shared" si="19"/>
        <v>2364.5333928324935</v>
      </c>
      <c r="Y30" s="12">
        <f t="shared" si="19"/>
        <v>2435.4693946174689</v>
      </c>
      <c r="Z30" s="12">
        <f t="shared" si="19"/>
        <v>2508.533476455993</v>
      </c>
      <c r="AA30" s="12">
        <f t="shared" si="19"/>
        <v>2583.7894807496727</v>
      </c>
      <c r="AB30" s="12">
        <f t="shared" si="19"/>
        <v>2661.3031651721631</v>
      </c>
      <c r="AC30" s="12">
        <f t="shared" si="19"/>
        <v>2741.142260127328</v>
      </c>
      <c r="AD30" s="12">
        <f t="shared" si="19"/>
        <v>2823.3765279311483</v>
      </c>
      <c r="AE30" s="12">
        <f t="shared" si="19"/>
        <v>2908.0778237690824</v>
      </c>
      <c r="AF30" s="12">
        <f t="shared" si="19"/>
        <v>2995.3201584821554</v>
      </c>
      <c r="AG30" s="12">
        <f t="shared" si="19"/>
        <v>3085.1797632366201</v>
      </c>
      <c r="AH30" s="12">
        <f t="shared" si="19"/>
        <v>3177.7351561337182</v>
      </c>
    </row>
    <row r="31" spans="1:34" x14ac:dyDescent="0.25">
      <c r="A31" s="56" t="s">
        <v>53</v>
      </c>
      <c r="D31" s="55">
        <f>+D30/C30-1</f>
        <v>-7.1161048689138529E-2</v>
      </c>
      <c r="E31" s="55">
        <f t="shared" ref="E31:AH31" si="20">+E30/D30-1</f>
        <v>6.4516129032257119E-3</v>
      </c>
      <c r="F31" s="55">
        <f t="shared" si="20"/>
        <v>3.7660256410256387E-2</v>
      </c>
      <c r="G31" s="55">
        <f t="shared" si="20"/>
        <v>3.5521235521235539E-2</v>
      </c>
      <c r="H31" s="55">
        <f t="shared" si="20"/>
        <v>-1.491424310216205E-3</v>
      </c>
      <c r="I31" s="55">
        <f t="shared" si="20"/>
        <v>3.8834951456310662E-2</v>
      </c>
      <c r="J31" s="55">
        <f t="shared" si="20"/>
        <v>-4.5291157440690122E-2</v>
      </c>
      <c r="K31" s="55">
        <f t="shared" si="20"/>
        <v>-9.0361445783132543E-3</v>
      </c>
      <c r="L31" s="55">
        <f t="shared" si="20"/>
        <v>2.2796352583586588E-2</v>
      </c>
      <c r="M31" s="55">
        <f t="shared" si="20"/>
        <v>7.4087912332837735E-2</v>
      </c>
      <c r="N31" s="55">
        <f t="shared" si="20"/>
        <v>-8.7053708300956933E-2</v>
      </c>
      <c r="O31" s="55">
        <f t="shared" si="20"/>
        <v>0.14285848714859783</v>
      </c>
      <c r="P31" s="172">
        <f t="shared" si="20"/>
        <v>0.21520118434838564</v>
      </c>
      <c r="Q31" s="57">
        <f t="shared" si="20"/>
        <v>4.8851778341102214E-2</v>
      </c>
      <c r="R31" s="55">
        <f t="shared" si="20"/>
        <v>3.0000000000000027E-2</v>
      </c>
      <c r="S31" s="55">
        <f t="shared" si="20"/>
        <v>3.0000000000000027E-2</v>
      </c>
      <c r="T31" s="55">
        <f t="shared" si="20"/>
        <v>3.0000000000000027E-2</v>
      </c>
      <c r="U31" s="55">
        <f t="shared" si="20"/>
        <v>3.0000000000000027E-2</v>
      </c>
      <c r="V31" s="55">
        <f t="shared" si="20"/>
        <v>2.9999999999999805E-2</v>
      </c>
      <c r="W31" s="55">
        <f t="shared" si="20"/>
        <v>3.0000000000000249E-2</v>
      </c>
      <c r="X31" s="55">
        <f t="shared" si="20"/>
        <v>2.9999999999999583E-2</v>
      </c>
      <c r="Y31" s="55">
        <f t="shared" si="20"/>
        <v>3.0000000000000249E-2</v>
      </c>
      <c r="Z31" s="55">
        <f t="shared" si="20"/>
        <v>3.0000000000000027E-2</v>
      </c>
      <c r="AA31" s="55">
        <f t="shared" si="20"/>
        <v>3.0000000000000027E-2</v>
      </c>
      <c r="AB31" s="55">
        <f t="shared" si="20"/>
        <v>3.0000000000000027E-2</v>
      </c>
      <c r="AC31" s="55">
        <f t="shared" si="20"/>
        <v>3.0000000000000027E-2</v>
      </c>
      <c r="AD31" s="55">
        <f t="shared" si="20"/>
        <v>3.0000000000000249E-2</v>
      </c>
      <c r="AE31" s="55">
        <f t="shared" si="20"/>
        <v>2.9999999999999805E-2</v>
      </c>
      <c r="AF31" s="55">
        <f t="shared" si="20"/>
        <v>3.0000000000000249E-2</v>
      </c>
      <c r="AG31" s="55">
        <f t="shared" si="20"/>
        <v>3.0000000000000027E-2</v>
      </c>
      <c r="AH31" s="55">
        <f t="shared" si="20"/>
        <v>2.9999999999999805E-2</v>
      </c>
    </row>
    <row r="32" spans="1:34" x14ac:dyDescent="0.25">
      <c r="A32" s="42" t="s">
        <v>47</v>
      </c>
      <c r="C32" s="8">
        <v>21</v>
      </c>
      <c r="D32" s="8">
        <v>0</v>
      </c>
      <c r="E32" s="8">
        <v>0</v>
      </c>
      <c r="F32" s="2">
        <v>0</v>
      </c>
      <c r="O32" s="50"/>
      <c r="P32" s="144"/>
      <c r="Q32" s="149"/>
    </row>
    <row r="33" spans="1:34" x14ac:dyDescent="0.25">
      <c r="A33" s="56"/>
      <c r="D33" s="55"/>
      <c r="E33" s="55"/>
      <c r="F33" s="55"/>
      <c r="G33" s="55"/>
      <c r="H33" s="55"/>
      <c r="I33" s="55"/>
      <c r="J33" s="55"/>
      <c r="K33" s="55"/>
      <c r="L33" s="55"/>
      <c r="M33" s="55"/>
      <c r="N33" s="55"/>
      <c r="O33" s="159"/>
      <c r="P33" s="143"/>
      <c r="Q33" s="151"/>
      <c r="R33" s="55"/>
      <c r="S33" s="55"/>
      <c r="T33" s="55"/>
      <c r="U33" s="55"/>
      <c r="V33" s="55"/>
      <c r="W33" s="55"/>
      <c r="X33" s="55"/>
      <c r="Y33" s="55"/>
      <c r="Z33" s="55"/>
      <c r="AA33" s="55"/>
      <c r="AB33" s="55"/>
      <c r="AC33" s="55"/>
      <c r="AD33" s="55"/>
      <c r="AE33" s="55"/>
      <c r="AF33" s="55"/>
      <c r="AG33" s="55"/>
      <c r="AH33" s="55"/>
    </row>
    <row r="34" spans="1:34" x14ac:dyDescent="0.25">
      <c r="A34" s="81" t="s">
        <v>59</v>
      </c>
      <c r="B34" s="82"/>
      <c r="C34" s="83">
        <f t="shared" ref="C34:AH34" si="21">+C20-C30+C32</f>
        <v>-587</v>
      </c>
      <c r="D34" s="83">
        <f t="shared" si="21"/>
        <v>-385</v>
      </c>
      <c r="E34" s="83">
        <f t="shared" si="21"/>
        <v>-254</v>
      </c>
      <c r="F34" s="83">
        <f t="shared" si="21"/>
        <v>-241</v>
      </c>
      <c r="G34" s="83">
        <f t="shared" si="21"/>
        <v>-216</v>
      </c>
      <c r="H34" s="83">
        <f t="shared" si="21"/>
        <v>-213</v>
      </c>
      <c r="I34" s="83">
        <f t="shared" si="21"/>
        <v>-275</v>
      </c>
      <c r="J34" s="83">
        <f t="shared" si="21"/>
        <v>-164</v>
      </c>
      <c r="K34" s="83">
        <f t="shared" si="21"/>
        <v>-105</v>
      </c>
      <c r="L34" s="83">
        <f t="shared" si="21"/>
        <v>6</v>
      </c>
      <c r="M34" s="83">
        <f t="shared" si="21"/>
        <v>52.197440000000142</v>
      </c>
      <c r="N34" s="83">
        <f t="shared" si="21"/>
        <v>288.43481700000029</v>
      </c>
      <c r="O34" s="83">
        <f>+O20-O30+O32</f>
        <v>429.3632299999997</v>
      </c>
      <c r="P34" s="174">
        <f t="shared" si="21"/>
        <v>413.37753999999995</v>
      </c>
      <c r="Q34" s="85">
        <f t="shared" si="21"/>
        <v>390.47943999999939</v>
      </c>
      <c r="R34" s="83">
        <f t="shared" si="21"/>
        <v>474.96994724750016</v>
      </c>
      <c r="S34" s="83">
        <f t="shared" si="21"/>
        <v>573.40952049912516</v>
      </c>
      <c r="T34" s="83">
        <f t="shared" si="21"/>
        <v>680.17350679895389</v>
      </c>
      <c r="U34" s="83">
        <f t="shared" si="21"/>
        <v>795.83828493641249</v>
      </c>
      <c r="V34" s="83">
        <f t="shared" si="21"/>
        <v>921.01676163978163</v>
      </c>
      <c r="W34" s="83">
        <f t="shared" si="21"/>
        <v>1056.3605744558827</v>
      </c>
      <c r="X34" s="83">
        <f t="shared" si="21"/>
        <v>1202.5624233288736</v>
      </c>
      <c r="Y34" s="83">
        <f t="shared" si="21"/>
        <v>1360.3585382327833</v>
      </c>
      <c r="Z34" s="83">
        <f t="shared" si="21"/>
        <v>1530.5312906259142</v>
      </c>
      <c r="AA34" s="83">
        <f t="shared" si="21"/>
        <v>1675.8658191026548</v>
      </c>
      <c r="AB34" s="83">
        <f t="shared" si="21"/>
        <v>1782.5858213704432</v>
      </c>
      <c r="AC34" s="83">
        <f t="shared" si="21"/>
        <v>1849.0991346340325</v>
      </c>
      <c r="AD34" s="83">
        <f t="shared" si="21"/>
        <v>1889.5799763143659</v>
      </c>
      <c r="AE34" s="83">
        <f t="shared" si="21"/>
        <v>1930.9004399361443</v>
      </c>
      <c r="AF34" s="83">
        <f t="shared" si="21"/>
        <v>1973.0763440748824</v>
      </c>
      <c r="AG34" s="83">
        <f t="shared" si="21"/>
        <v>2016.1237476112997</v>
      </c>
      <c r="AH34" s="83">
        <f t="shared" si="21"/>
        <v>2060.0589510841655</v>
      </c>
    </row>
    <row r="35" spans="1:34" x14ac:dyDescent="0.25">
      <c r="A35" s="56"/>
      <c r="D35" s="55"/>
      <c r="E35" s="55"/>
      <c r="F35" s="55"/>
      <c r="G35" s="55"/>
      <c r="H35" s="55"/>
      <c r="I35" s="55"/>
      <c r="J35" s="55"/>
      <c r="K35" s="55"/>
      <c r="L35" s="55"/>
      <c r="M35" s="55"/>
      <c r="N35" s="140"/>
      <c r="O35" s="160"/>
      <c r="P35" s="145"/>
      <c r="Q35" s="151"/>
      <c r="R35" s="55"/>
      <c r="S35" s="55"/>
      <c r="T35" s="55"/>
      <c r="U35" s="55"/>
      <c r="V35" s="55"/>
      <c r="W35" s="55"/>
      <c r="X35" s="55"/>
      <c r="Y35" s="55"/>
      <c r="Z35" s="55"/>
      <c r="AA35" s="55"/>
      <c r="AB35" s="55"/>
      <c r="AC35" s="55"/>
      <c r="AD35" s="55"/>
      <c r="AE35" s="55"/>
      <c r="AF35" s="55"/>
      <c r="AG35" s="55"/>
      <c r="AH35" s="55"/>
    </row>
    <row r="36" spans="1:34" x14ac:dyDescent="0.25">
      <c r="A36" t="s">
        <v>23</v>
      </c>
      <c r="C36" s="8">
        <v>-5</v>
      </c>
      <c r="D36" s="8">
        <v>-3</v>
      </c>
      <c r="E36" s="8">
        <v>-35</v>
      </c>
      <c r="F36" s="8">
        <v>-5</v>
      </c>
      <c r="G36" s="63">
        <v>-4</v>
      </c>
      <c r="H36" s="63">
        <v>-16</v>
      </c>
      <c r="I36" s="63">
        <v>-17</v>
      </c>
      <c r="J36" s="116">
        <v>-3</v>
      </c>
      <c r="K36" s="63">
        <v>0</v>
      </c>
      <c r="L36" s="63">
        <v>-27</v>
      </c>
      <c r="M36" s="63">
        <v>0</v>
      </c>
      <c r="N36" s="63">
        <v>0</v>
      </c>
      <c r="O36" s="158">
        <v>-87.489000000000004</v>
      </c>
      <c r="P36" s="170">
        <v>-130.51330999999999</v>
      </c>
      <c r="Q36" s="187">
        <v>-159.554</v>
      </c>
      <c r="R36" s="15">
        <f t="shared" ref="R36:AH36" si="22">+R34*-0.25</f>
        <v>-118.74248681187504</v>
      </c>
      <c r="S36" s="15">
        <f t="shared" si="22"/>
        <v>-143.35238012478129</v>
      </c>
      <c r="T36" s="15">
        <f t="shared" si="22"/>
        <v>-170.04337669973847</v>
      </c>
      <c r="U36" s="15">
        <f t="shared" si="22"/>
        <v>-198.95957123410312</v>
      </c>
      <c r="V36" s="15">
        <f t="shared" si="22"/>
        <v>-230.25419040994541</v>
      </c>
      <c r="W36" s="15">
        <f t="shared" si="22"/>
        <v>-264.09014361397067</v>
      </c>
      <c r="X36" s="15">
        <f t="shared" si="22"/>
        <v>-300.6406058322184</v>
      </c>
      <c r="Y36" s="15">
        <f t="shared" si="22"/>
        <v>-340.08963455819583</v>
      </c>
      <c r="Z36" s="15">
        <f t="shared" si="22"/>
        <v>-382.63282265647854</v>
      </c>
      <c r="AA36" s="15">
        <f t="shared" si="22"/>
        <v>-418.96645477566369</v>
      </c>
      <c r="AB36" s="15">
        <f t="shared" si="22"/>
        <v>-445.64645534261081</v>
      </c>
      <c r="AC36" s="15">
        <f t="shared" si="22"/>
        <v>-462.27478365850811</v>
      </c>
      <c r="AD36" s="15">
        <f>+AD34*-0.25</f>
        <v>-472.39499407859148</v>
      </c>
      <c r="AE36" s="15">
        <f t="shared" si="22"/>
        <v>-482.72510998403607</v>
      </c>
      <c r="AF36" s="15">
        <f t="shared" si="22"/>
        <v>-493.2690860187206</v>
      </c>
      <c r="AG36" s="15">
        <f t="shared" si="22"/>
        <v>-504.03093690282492</v>
      </c>
      <c r="AH36" s="15">
        <f t="shared" si="22"/>
        <v>-515.01473777104138</v>
      </c>
    </row>
    <row r="37" spans="1:34" x14ac:dyDescent="0.25">
      <c r="A37" t="s">
        <v>42</v>
      </c>
      <c r="C37" s="8">
        <f>10+15+2+13-11</f>
        <v>29</v>
      </c>
      <c r="D37" s="10">
        <v>26</v>
      </c>
      <c r="E37" s="10">
        <v>26</v>
      </c>
      <c r="F37" s="112">
        <v>47</v>
      </c>
      <c r="G37" s="112">
        <v>36</v>
      </c>
      <c r="H37" s="113">
        <v>-44</v>
      </c>
      <c r="I37" s="54">
        <v>-59</v>
      </c>
      <c r="J37" s="102">
        <v>8</v>
      </c>
      <c r="K37" s="43">
        <v>-56</v>
      </c>
      <c r="L37" s="43">
        <v>50</v>
      </c>
      <c r="M37" s="63">
        <v>0</v>
      </c>
      <c r="N37" s="63">
        <v>45</v>
      </c>
      <c r="O37" s="158">
        <v>46</v>
      </c>
      <c r="P37" s="170">
        <v>-291.48355700000093</v>
      </c>
      <c r="Q37" s="186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</row>
    <row r="38" spans="1:34" x14ac:dyDescent="0.25">
      <c r="C38" s="8"/>
      <c r="D38" s="10"/>
      <c r="E38" s="10"/>
      <c r="F38" s="10"/>
      <c r="G38" s="10"/>
      <c r="H38" s="11"/>
      <c r="O38" s="50"/>
      <c r="P38" s="144"/>
      <c r="Q38" s="149"/>
    </row>
    <row r="39" spans="1:34" x14ac:dyDescent="0.25">
      <c r="A39" s="81" t="s">
        <v>60</v>
      </c>
      <c r="B39" s="82"/>
      <c r="C39" s="83">
        <f t="shared" ref="C39:AC39" si="23">SUM(C34:C37)</f>
        <v>-563</v>
      </c>
      <c r="D39" s="83">
        <f t="shared" si="23"/>
        <v>-362</v>
      </c>
      <c r="E39" s="83">
        <f t="shared" si="23"/>
        <v>-263</v>
      </c>
      <c r="F39" s="83">
        <f t="shared" si="23"/>
        <v>-199</v>
      </c>
      <c r="G39" s="83">
        <f t="shared" si="23"/>
        <v>-184</v>
      </c>
      <c r="H39" s="83">
        <f t="shared" si="23"/>
        <v>-273</v>
      </c>
      <c r="I39" s="83">
        <f t="shared" si="23"/>
        <v>-351</v>
      </c>
      <c r="J39" s="83">
        <f t="shared" si="23"/>
        <v>-159</v>
      </c>
      <c r="K39" s="83">
        <f t="shared" si="23"/>
        <v>-161</v>
      </c>
      <c r="L39" s="83">
        <f t="shared" si="23"/>
        <v>29</v>
      </c>
      <c r="M39" s="83">
        <f t="shared" si="23"/>
        <v>52.197440000000142</v>
      </c>
      <c r="N39" s="83">
        <f t="shared" si="23"/>
        <v>333.43481700000029</v>
      </c>
      <c r="O39" s="83">
        <f>SUM(O34:O37)</f>
        <v>387.87422999999967</v>
      </c>
      <c r="P39" s="174">
        <f>SUM(P34:P37)</f>
        <v>-8.6193270000009647</v>
      </c>
      <c r="Q39" s="85">
        <f t="shared" si="23"/>
        <v>230.92543999999938</v>
      </c>
      <c r="R39" s="83">
        <f t="shared" si="23"/>
        <v>356.22746043562512</v>
      </c>
      <c r="S39" s="83">
        <f t="shared" si="23"/>
        <v>430.05714037434387</v>
      </c>
      <c r="T39" s="83">
        <f t="shared" si="23"/>
        <v>510.13013009921542</v>
      </c>
      <c r="U39" s="83">
        <f t="shared" si="23"/>
        <v>596.87871370230937</v>
      </c>
      <c r="V39" s="83">
        <f t="shared" si="23"/>
        <v>690.76257122983623</v>
      </c>
      <c r="W39" s="83">
        <f t="shared" si="23"/>
        <v>792.270430841912</v>
      </c>
      <c r="X39" s="83">
        <f t="shared" si="23"/>
        <v>901.92181749665519</v>
      </c>
      <c r="Y39" s="83">
        <f t="shared" si="23"/>
        <v>1020.2689036745875</v>
      </c>
      <c r="Z39" s="83">
        <f t="shared" si="23"/>
        <v>1147.8984679694356</v>
      </c>
      <c r="AA39" s="83">
        <f t="shared" si="23"/>
        <v>1256.899364326991</v>
      </c>
      <c r="AB39" s="83">
        <f t="shared" si="23"/>
        <v>1336.9393660278324</v>
      </c>
      <c r="AC39" s="83">
        <f t="shared" si="23"/>
        <v>1386.8243509755243</v>
      </c>
      <c r="AD39" s="83">
        <f t="shared" ref="AD39:AF39" si="24">SUM(AD34:AD37)</f>
        <v>1417.1849822357744</v>
      </c>
      <c r="AE39" s="83">
        <f t="shared" si="24"/>
        <v>1448.1753299521083</v>
      </c>
      <c r="AF39" s="83">
        <f t="shared" si="24"/>
        <v>1479.8072580561618</v>
      </c>
      <c r="AG39" s="83">
        <f>SUM(AG34:AG37)</f>
        <v>1512.0928107084746</v>
      </c>
      <c r="AH39" s="83">
        <f t="shared" ref="AH39" si="25">SUM(AH34:AH37)</f>
        <v>1545.0442133131241</v>
      </c>
    </row>
    <row r="40" spans="1:34" x14ac:dyDescent="0.25">
      <c r="A40" s="56"/>
      <c r="D40" s="55"/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159"/>
      <c r="P40" s="143"/>
      <c r="Q40" s="151"/>
      <c r="R40" s="55"/>
      <c r="S40" s="55"/>
      <c r="T40" s="55"/>
      <c r="U40" s="55"/>
      <c r="V40" s="55"/>
      <c r="W40" s="55"/>
      <c r="X40" s="55"/>
      <c r="Y40" s="55"/>
      <c r="Z40" s="55"/>
      <c r="AA40" s="55"/>
      <c r="AB40" s="55"/>
      <c r="AC40" s="55"/>
      <c r="AD40" s="55"/>
      <c r="AE40" s="55"/>
      <c r="AF40" s="55"/>
      <c r="AG40" s="55"/>
      <c r="AH40" s="55"/>
    </row>
    <row r="41" spans="1:34" x14ac:dyDescent="0.25">
      <c r="A41" t="s">
        <v>72</v>
      </c>
      <c r="C41" s="86">
        <v>178</v>
      </c>
      <c r="D41" s="86">
        <v>207</v>
      </c>
      <c r="E41" s="86">
        <v>229</v>
      </c>
      <c r="F41" s="86">
        <v>252</v>
      </c>
      <c r="G41" s="86">
        <v>207</v>
      </c>
      <c r="H41" s="86">
        <v>221</v>
      </c>
      <c r="I41" s="86">
        <v>238</v>
      </c>
      <c r="J41" s="117">
        <v>257</v>
      </c>
      <c r="K41" s="117">
        <v>271</v>
      </c>
      <c r="L41" s="117">
        <v>285</v>
      </c>
      <c r="M41" s="117">
        <v>295.43071000000003</v>
      </c>
      <c r="N41" s="117">
        <v>306</v>
      </c>
      <c r="O41" s="117">
        <v>314.17739999999998</v>
      </c>
      <c r="P41" s="175">
        <v>318.14296000000002</v>
      </c>
      <c r="Q41" s="88">
        <f t="shared" ref="Q41:AH41" si="26">MAX((P45+(Q30-Q20)/2)*Q11,0)</f>
        <v>314.74606507499999</v>
      </c>
      <c r="R41" s="89">
        <f t="shared" si="26"/>
        <v>313.8523414471656</v>
      </c>
      <c r="S41" s="89">
        <f t="shared" si="26"/>
        <v>310.7528994788596</v>
      </c>
      <c r="T41" s="89">
        <f t="shared" si="26"/>
        <v>303.5174539345503</v>
      </c>
      <c r="U41" s="89">
        <f t="shared" si="26"/>
        <v>292.00221854268943</v>
      </c>
      <c r="V41" s="89">
        <f t="shared" si="26"/>
        <v>276.05814039889714</v>
      </c>
      <c r="W41" s="89">
        <f t="shared" si="26"/>
        <v>255.53069300359962</v>
      </c>
      <c r="X41" s="89">
        <f t="shared" si="26"/>
        <v>230.25966048203054</v>
      </c>
      <c r="Y41" s="89">
        <f t="shared" si="26"/>
        <v>203.97891258050797</v>
      </c>
      <c r="Z41" s="89">
        <f t="shared" si="26"/>
        <v>176.64292001298608</v>
      </c>
      <c r="AA41" s="89">
        <f t="shared" si="26"/>
        <v>148.82212882566111</v>
      </c>
      <c r="AB41" s="89">
        <f t="shared" si="26"/>
        <v>120.72464797564353</v>
      </c>
      <c r="AC41" s="89">
        <f t="shared" si="26"/>
        <v>92.367357694318613</v>
      </c>
      <c r="AD41" s="89">
        <f t="shared" si="26"/>
        <v>63.511483142078553</v>
      </c>
      <c r="AE41" s="89">
        <f t="shared" si="26"/>
        <v>33.704148810342211</v>
      </c>
      <c r="AF41" s="89">
        <f t="shared" si="26"/>
        <v>2.9141752044238411</v>
      </c>
      <c r="AG41" s="89">
        <f t="shared" si="26"/>
        <v>0</v>
      </c>
      <c r="AH41" s="89">
        <f t="shared" si="26"/>
        <v>0</v>
      </c>
    </row>
    <row r="42" spans="1:34" x14ac:dyDescent="0.25">
      <c r="A42" t="s">
        <v>78</v>
      </c>
      <c r="C42" s="86"/>
      <c r="D42" s="86"/>
      <c r="E42" s="86"/>
      <c r="F42" s="86"/>
      <c r="G42" s="86"/>
      <c r="H42" s="86"/>
      <c r="I42" s="86"/>
      <c r="J42" s="117"/>
      <c r="K42" s="117"/>
      <c r="L42" s="117"/>
      <c r="M42" s="117"/>
      <c r="N42" s="117">
        <v>-60</v>
      </c>
      <c r="O42" s="117">
        <f>-15*12</f>
        <v>-180</v>
      </c>
      <c r="P42" s="175">
        <f>-20*12</f>
        <v>-240</v>
      </c>
      <c r="Q42" s="88">
        <f>-25*12</f>
        <v>-300</v>
      </c>
      <c r="R42" s="89">
        <f>-30*12</f>
        <v>-360</v>
      </c>
      <c r="S42" s="89">
        <f>-40*12</f>
        <v>-480</v>
      </c>
      <c r="T42" s="89">
        <f>-50*12</f>
        <v>-600</v>
      </c>
      <c r="U42" s="89">
        <f>-60*12</f>
        <v>-720</v>
      </c>
      <c r="V42" s="89">
        <f>-70*12</f>
        <v>-840</v>
      </c>
      <c r="W42" s="89">
        <f>-80*12</f>
        <v>-960</v>
      </c>
      <c r="X42" s="89">
        <f>W42</f>
        <v>-960</v>
      </c>
      <c r="Y42" s="89">
        <f t="shared" ref="Y42:AH42" si="27">X42</f>
        <v>-960</v>
      </c>
      <c r="Z42" s="89">
        <f t="shared" si="27"/>
        <v>-960</v>
      </c>
      <c r="AA42" s="89">
        <f t="shared" si="27"/>
        <v>-960</v>
      </c>
      <c r="AB42" s="89">
        <f t="shared" si="27"/>
        <v>-960</v>
      </c>
      <c r="AC42" s="89">
        <f t="shared" si="27"/>
        <v>-960</v>
      </c>
      <c r="AD42" s="89">
        <f>AC42</f>
        <v>-960</v>
      </c>
      <c r="AE42" s="89">
        <f t="shared" si="27"/>
        <v>-960</v>
      </c>
      <c r="AF42" s="89">
        <f t="shared" si="27"/>
        <v>-960</v>
      </c>
      <c r="AG42" s="89">
        <f t="shared" si="27"/>
        <v>-960</v>
      </c>
      <c r="AH42" s="89">
        <f t="shared" si="27"/>
        <v>-960</v>
      </c>
    </row>
    <row r="43" spans="1:34" s="6" customFormat="1" x14ac:dyDescent="0.25">
      <c r="A43" s="6" t="s">
        <v>61</v>
      </c>
      <c r="C43" s="12">
        <f t="shared" ref="C43:M43" si="28">+C39-C41</f>
        <v>-741</v>
      </c>
      <c r="D43" s="12">
        <f t="shared" si="28"/>
        <v>-569</v>
      </c>
      <c r="E43" s="12">
        <f t="shared" si="28"/>
        <v>-492</v>
      </c>
      <c r="F43" s="12">
        <f t="shared" si="28"/>
        <v>-451</v>
      </c>
      <c r="G43" s="12">
        <f t="shared" si="28"/>
        <v>-391</v>
      </c>
      <c r="H43" s="12">
        <f t="shared" si="28"/>
        <v>-494</v>
      </c>
      <c r="I43" s="12">
        <f t="shared" si="28"/>
        <v>-589</v>
      </c>
      <c r="J43" s="12">
        <f t="shared" si="28"/>
        <v>-416</v>
      </c>
      <c r="K43" s="12">
        <f t="shared" si="28"/>
        <v>-432</v>
      </c>
      <c r="L43" s="12">
        <f t="shared" si="28"/>
        <v>-256</v>
      </c>
      <c r="M43" s="12">
        <f t="shared" si="28"/>
        <v>-243.23326999999989</v>
      </c>
      <c r="N43" s="12">
        <f>+N39-N47</f>
        <v>87.434817000000294</v>
      </c>
      <c r="O43" s="12">
        <f>+O39-O47</f>
        <v>253.69682999999918</v>
      </c>
      <c r="P43" s="173">
        <f>+P39-P47</f>
        <v>-139.94268699999947</v>
      </c>
      <c r="Q43" s="31">
        <f t="shared" ref="Q43:AH43" si="29">+Q39-Q47</f>
        <v>216.17937492499945</v>
      </c>
      <c r="R43" s="12">
        <f t="shared" si="29"/>
        <v>402.37511898845952</v>
      </c>
      <c r="S43" s="12">
        <f t="shared" si="29"/>
        <v>599.30424089548478</v>
      </c>
      <c r="T43" s="12">
        <f t="shared" si="29"/>
        <v>806.61267616466557</v>
      </c>
      <c r="U43" s="12">
        <f t="shared" si="29"/>
        <v>1024.8764951596197</v>
      </c>
      <c r="V43" s="12">
        <f t="shared" si="29"/>
        <v>1254.7044308309401</v>
      </c>
      <c r="W43" s="12">
        <f t="shared" si="29"/>
        <v>1496.7397378383116</v>
      </c>
      <c r="X43" s="12">
        <f t="shared" si="29"/>
        <v>1631.6621570146251</v>
      </c>
      <c r="Y43" s="12">
        <f t="shared" si="29"/>
        <v>1776.2899910940791</v>
      </c>
      <c r="Z43" s="12">
        <f t="shared" si="29"/>
        <v>1931.2555479564496</v>
      </c>
      <c r="AA43" s="12">
        <f t="shared" si="29"/>
        <v>2068.0772355013301</v>
      </c>
      <c r="AB43" s="12">
        <f t="shared" si="29"/>
        <v>2176.2147180521893</v>
      </c>
      <c r="AC43" s="12">
        <f t="shared" si="29"/>
        <v>2254.4569932812055</v>
      </c>
      <c r="AD43" s="12">
        <f t="shared" si="29"/>
        <v>2313.6734990936957</v>
      </c>
      <c r="AE43" s="12">
        <f t="shared" si="29"/>
        <v>2374.471181141766</v>
      </c>
      <c r="AF43" s="12">
        <f t="shared" si="29"/>
        <v>2436.8930828517377</v>
      </c>
      <c r="AG43" s="12">
        <f t="shared" si="29"/>
        <v>1631.2120873172271</v>
      </c>
      <c r="AH43" s="12">
        <f t="shared" si="29"/>
        <v>1545.0442133131241</v>
      </c>
    </row>
    <row r="44" spans="1:34" x14ac:dyDescent="0.25">
      <c r="D44" s="11"/>
      <c r="E44" s="11"/>
      <c r="F44" s="11"/>
      <c r="G44" s="11"/>
      <c r="H44" s="11"/>
      <c r="I44" s="11"/>
      <c r="J44" s="11"/>
      <c r="K44" s="11"/>
      <c r="L44" s="11"/>
      <c r="M44" s="11"/>
      <c r="O44" s="50"/>
      <c r="P44" s="144"/>
      <c r="Q44" s="149"/>
    </row>
    <row r="45" spans="1:34" x14ac:dyDescent="0.25">
      <c r="A45" s="21" t="s">
        <v>26</v>
      </c>
      <c r="B45" s="21"/>
      <c r="C45" s="22">
        <v>4735</v>
      </c>
      <c r="D45" s="22">
        <v>5318</v>
      </c>
      <c r="E45" s="22">
        <f>5606+229</f>
        <v>5835</v>
      </c>
      <c r="F45" s="22">
        <v>6332</v>
      </c>
      <c r="G45" s="22">
        <v>6730</v>
      </c>
      <c r="H45" s="23">
        <v>7254</v>
      </c>
      <c r="I45" s="23">
        <f>7254+350+238</f>
        <v>7842</v>
      </c>
      <c r="J45" s="23">
        <v>8294</v>
      </c>
      <c r="K45" s="23">
        <v>8790</v>
      </c>
      <c r="L45" s="23">
        <f>8840+285</f>
        <v>9125</v>
      </c>
      <c r="M45" s="23">
        <f t="shared" ref="M45" si="30">MAX(0,+L45-M43)</f>
        <v>9368.2332700000006</v>
      </c>
      <c r="N45" s="23">
        <f>M45+N41+N42</f>
        <v>9614.2332700000006</v>
      </c>
      <c r="O45" s="23">
        <f>N45+O41+O42</f>
        <v>9748.4106700000011</v>
      </c>
      <c r="P45" s="23">
        <v>9879.7340299999996</v>
      </c>
      <c r="Q45" s="23">
        <f>P45+Q41+Q42</f>
        <v>9894.4800950749996</v>
      </c>
      <c r="R45" s="23">
        <f t="shared" ref="R45:AE45" si="31">Q45+R41+R42</f>
        <v>9848.3324365221652</v>
      </c>
      <c r="S45" s="23">
        <f t="shared" si="31"/>
        <v>9679.0853360010242</v>
      </c>
      <c r="T45" s="23">
        <f t="shared" si="31"/>
        <v>9382.602789935574</v>
      </c>
      <c r="U45" s="23">
        <f t="shared" si="31"/>
        <v>8954.6050084782637</v>
      </c>
      <c r="V45" s="23">
        <f t="shared" si="31"/>
        <v>8390.66314887716</v>
      </c>
      <c r="W45" s="23">
        <f t="shared" si="31"/>
        <v>7686.1938418807604</v>
      </c>
      <c r="X45" s="23">
        <f t="shared" si="31"/>
        <v>6956.4535023627905</v>
      </c>
      <c r="Y45" s="23">
        <f t="shared" si="31"/>
        <v>6200.4324149432987</v>
      </c>
      <c r="Z45" s="23">
        <f t="shared" si="31"/>
        <v>5417.0753349562847</v>
      </c>
      <c r="AA45" s="23">
        <f t="shared" si="31"/>
        <v>4605.8974637819456</v>
      </c>
      <c r="AB45" s="23">
        <f t="shared" si="31"/>
        <v>3766.6221117575888</v>
      </c>
      <c r="AC45" s="23">
        <f t="shared" si="31"/>
        <v>2898.9894694519076</v>
      </c>
      <c r="AD45" s="23">
        <f t="shared" si="31"/>
        <v>2002.5009525939863</v>
      </c>
      <c r="AE45" s="23">
        <f t="shared" si="31"/>
        <v>1076.2051014043286</v>
      </c>
      <c r="AF45" s="23">
        <f>AE45+AF41+AF42</f>
        <v>119.11927660875244</v>
      </c>
      <c r="AG45" s="23"/>
      <c r="AH45" s="23"/>
    </row>
    <row r="46" spans="1:34" x14ac:dyDescent="0.25">
      <c r="A46" s="21" t="s">
        <v>27</v>
      </c>
      <c r="B46" s="21"/>
      <c r="C46" s="22">
        <v>4731</v>
      </c>
      <c r="D46" s="22">
        <v>4752</v>
      </c>
      <c r="E46" s="22">
        <v>4776</v>
      </c>
      <c r="F46" s="22">
        <v>5144</v>
      </c>
      <c r="G46" s="22">
        <v>5444</v>
      </c>
      <c r="H46" s="24">
        <v>6424</v>
      </c>
      <c r="I46" s="24">
        <v>6773</v>
      </c>
      <c r="J46" s="24">
        <v>7482</v>
      </c>
      <c r="K46" s="24">
        <v>7500</v>
      </c>
      <c r="L46" s="24">
        <f t="shared" ref="L46:AF46" si="32">IF(L45&gt;0,K46+L48,MAX(0,K46+L48-(L43-(K45-L45))))</f>
        <v>7500</v>
      </c>
      <c r="M46" s="24">
        <f t="shared" si="32"/>
        <v>7500</v>
      </c>
      <c r="N46" s="24">
        <f t="shared" si="32"/>
        <v>7500</v>
      </c>
      <c r="O46" s="24">
        <f t="shared" si="32"/>
        <v>7500</v>
      </c>
      <c r="P46" s="24">
        <f t="shared" si="32"/>
        <v>7500</v>
      </c>
      <c r="Q46" s="24">
        <f t="shared" si="32"/>
        <v>7500</v>
      </c>
      <c r="R46" s="24">
        <f t="shared" si="32"/>
        <v>7500</v>
      </c>
      <c r="S46" s="24">
        <f t="shared" si="32"/>
        <v>7500</v>
      </c>
      <c r="T46" s="24">
        <f t="shared" si="32"/>
        <v>7500</v>
      </c>
      <c r="U46" s="24">
        <f t="shared" si="32"/>
        <v>7500</v>
      </c>
      <c r="V46" s="24">
        <f t="shared" si="32"/>
        <v>7500</v>
      </c>
      <c r="W46" s="24">
        <f t="shared" si="32"/>
        <v>7500</v>
      </c>
      <c r="X46" s="24">
        <f t="shared" si="32"/>
        <v>7500</v>
      </c>
      <c r="Y46" s="24">
        <f t="shared" si="32"/>
        <v>7500</v>
      </c>
      <c r="Z46" s="24">
        <f t="shared" si="32"/>
        <v>7500</v>
      </c>
      <c r="AA46" s="24">
        <f t="shared" si="32"/>
        <v>7500</v>
      </c>
      <c r="AB46" s="24">
        <f t="shared" si="32"/>
        <v>7500</v>
      </c>
      <c r="AC46" s="24">
        <f t="shared" si="32"/>
        <v>7500</v>
      </c>
      <c r="AD46" s="24">
        <f t="shared" si="32"/>
        <v>7500</v>
      </c>
      <c r="AE46" s="24">
        <f t="shared" si="32"/>
        <v>7500</v>
      </c>
      <c r="AF46" s="24">
        <f t="shared" si="32"/>
        <v>7500</v>
      </c>
      <c r="AG46" s="24">
        <f>AF46+AG42</f>
        <v>6540</v>
      </c>
      <c r="AH46" s="24">
        <f>AG46+AH42</f>
        <v>5580</v>
      </c>
    </row>
    <row r="47" spans="1:34" x14ac:dyDescent="0.25">
      <c r="A47" t="s">
        <v>71</v>
      </c>
      <c r="C47" s="54"/>
      <c r="D47" s="101">
        <f>+D45-C45</f>
        <v>583</v>
      </c>
      <c r="E47" s="102">
        <f t="shared" ref="E47:AH47" si="33">+E45-D45</f>
        <v>517</v>
      </c>
      <c r="F47" s="102">
        <f t="shared" si="33"/>
        <v>497</v>
      </c>
      <c r="G47" s="102">
        <f t="shared" si="33"/>
        <v>398</v>
      </c>
      <c r="H47" s="43">
        <f t="shared" si="33"/>
        <v>524</v>
      </c>
      <c r="I47" s="43">
        <f t="shared" si="33"/>
        <v>588</v>
      </c>
      <c r="J47" s="43">
        <f t="shared" si="33"/>
        <v>452</v>
      </c>
      <c r="K47" s="43">
        <f t="shared" si="33"/>
        <v>496</v>
      </c>
      <c r="L47" s="43">
        <f t="shared" si="33"/>
        <v>335</v>
      </c>
      <c r="M47" s="43">
        <f t="shared" si="33"/>
        <v>243.23327000000063</v>
      </c>
      <c r="N47" s="43">
        <f>+N45-M45</f>
        <v>246</v>
      </c>
      <c r="O47" s="157">
        <f t="shared" si="33"/>
        <v>134.17740000000049</v>
      </c>
      <c r="P47" s="168">
        <f t="shared" si="33"/>
        <v>131.3233599999985</v>
      </c>
      <c r="Q47" s="141">
        <f>+Q45-P45</f>
        <v>14.746065074999933</v>
      </c>
      <c r="R47" s="4">
        <f t="shared" si="33"/>
        <v>-46.1476585528344</v>
      </c>
      <c r="S47" s="4">
        <f t="shared" si="33"/>
        <v>-169.24710052114096</v>
      </c>
      <c r="T47" s="4">
        <f t="shared" si="33"/>
        <v>-296.48254606545015</v>
      </c>
      <c r="U47" s="4">
        <f t="shared" si="33"/>
        <v>-427.99778145731034</v>
      </c>
      <c r="V47" s="4">
        <f t="shared" si="33"/>
        <v>-563.94185960110372</v>
      </c>
      <c r="W47" s="4">
        <f t="shared" si="33"/>
        <v>-704.46930699639961</v>
      </c>
      <c r="X47" s="4">
        <f t="shared" si="33"/>
        <v>-729.74033951796991</v>
      </c>
      <c r="Y47" s="4">
        <f t="shared" si="33"/>
        <v>-756.02108741949178</v>
      </c>
      <c r="Z47" s="4">
        <f t="shared" si="33"/>
        <v>-783.357079987014</v>
      </c>
      <c r="AA47" s="4">
        <f t="shared" si="33"/>
        <v>-811.17787117433909</v>
      </c>
      <c r="AB47" s="4">
        <f t="shared" si="33"/>
        <v>-839.27535202435683</v>
      </c>
      <c r="AC47" s="4">
        <f t="shared" si="33"/>
        <v>-867.6326423056812</v>
      </c>
      <c r="AD47" s="4">
        <f t="shared" si="33"/>
        <v>-896.48851685792124</v>
      </c>
      <c r="AE47" s="4">
        <f t="shared" si="33"/>
        <v>-926.2958511896577</v>
      </c>
      <c r="AF47" s="4">
        <f t="shared" si="33"/>
        <v>-957.08582479557617</v>
      </c>
      <c r="AG47" s="4">
        <f t="shared" si="33"/>
        <v>-119.11927660875244</v>
      </c>
      <c r="AH47" s="4">
        <f t="shared" si="33"/>
        <v>0</v>
      </c>
    </row>
    <row r="48" spans="1:34" x14ac:dyDescent="0.25">
      <c r="A48" t="s">
        <v>31</v>
      </c>
      <c r="C48" s="54"/>
      <c r="D48" s="54">
        <f>+D46-C46</f>
        <v>21</v>
      </c>
      <c r="E48" s="54">
        <f>+E46-D46</f>
        <v>24</v>
      </c>
      <c r="F48" s="54">
        <f>+F46-E46</f>
        <v>368</v>
      </c>
      <c r="G48" s="54">
        <f>+G46-F46</f>
        <v>300</v>
      </c>
      <c r="H48" s="59">
        <v>980</v>
      </c>
      <c r="I48">
        <v>349</v>
      </c>
      <c r="J48">
        <v>709</v>
      </c>
      <c r="K48">
        <f>IF(SUM($D48:J48)&lt;(7500-$C46),IF((10000*K6/1000+SUM($D48:J48))&lt;(7500-$C46),10000*K6/1000,7500-$C46-SUM($D48:J48)),0)</f>
        <v>18</v>
      </c>
      <c r="L48">
        <f>IF(SUM($D48:K48)&lt;(7500-$C46),IF((10000*L6/1000+SUM($D48:K48))&lt;(7500-$C46),10000*L6/1000,7500-$C46-SUM($D48:K48)),0)</f>
        <v>0</v>
      </c>
      <c r="M48">
        <f>IF(SUM($D48:L48)&lt;(7500-$C46),IF((10000*M6/1000+SUM($D48:L48))&lt;(7500-$C46),10000*M6/1000,7500-$C46-SUM($D48:L48)),0)</f>
        <v>0</v>
      </c>
      <c r="N48">
        <f>IF(SUM($D48:M48)&lt;(7500-$C46),IF((10000*N6/1000+SUM($D48:M48))&lt;(7500-$C46),10000*N6/1000,7500-$C46-SUM($D48:M48)),0)</f>
        <v>0</v>
      </c>
      <c r="O48">
        <f>IF(SUM($D48:N48)&lt;(7500-$C46),IF((10000*O6/1000+SUM($D48:N48))&lt;(7500-$C46),10000*O6/1000,7500-$C46-SUM($D48:N48)),0)</f>
        <v>0</v>
      </c>
      <c r="P48" s="161">
        <f>IF(SUM($D48:O48)&lt;(7500-$C46),IF((10000*P6/1000+SUM($D48:O48))&lt;(7500-$C46),10000*P6/1000,7500-$C46-SUM($D48:O48)),0)</f>
        <v>0</v>
      </c>
      <c r="Q48" s="21">
        <f>IF(SUM($D48:P48)&lt;(7500-$C46),IF((10000*Q6/1000+SUM($D48:P48))&lt;(7500-$C46),10000*Q6/1000,7500-$C46-SUM($D48:P48)),0)</f>
        <v>0</v>
      </c>
      <c r="R48">
        <f>IF(SUM($D48:Q48)&lt;(7500-$C46),IF((10000*R6/1000+SUM($D48:Q48))&lt;(7500-$C46),10000*R6/1000,7500-$C46-SUM($D48:Q48)),0)</f>
        <v>0</v>
      </c>
      <c r="S48">
        <f>IF(SUM($D48:R48)&lt;(7500-$C46),IF((10000*S6/1000+SUM($D48:R48))&lt;(7500-$C46),10000*S6/1000,7500-$C46-SUM($D48:R48)),0)</f>
        <v>0</v>
      </c>
      <c r="T48">
        <f>IF(SUM($D48:S48)&lt;(7500-$C46),IF((10000*T6/1000+SUM($D48:S48))&lt;(7500-$C46),10000*T6/1000,7500-$C46-SUM($D48:S48)),0)</f>
        <v>0</v>
      </c>
      <c r="U48">
        <f>IF(SUM($D48:T48)&lt;(7500-$C46),IF((10000*U6/1000+SUM($D48:T48))&lt;(7500-$C46),10000*U6/1000,7500-$C46-SUM($D48:T48)),0)</f>
        <v>0</v>
      </c>
      <c r="V48">
        <f>IF(SUM($D48:U48)&lt;(7500-$C46),IF((10000*V6/1000+SUM($D48:U48))&lt;(7500-$C46),10000*V6/1000,7500-$C46-SUM($D48:U48)),0)</f>
        <v>0</v>
      </c>
      <c r="W48">
        <f>IF(SUM($D48:V48)&lt;(7500-$C46),IF((10000*W6/1000+SUM($D48:V48))&lt;(7500-$C46),10000*W6/1000,7500-$C46-SUM($D48:V48)),0)</f>
        <v>0</v>
      </c>
      <c r="X48">
        <f>IF(SUM($D48:W48)&lt;(7500-$C46),IF((10000*X6/1000+SUM($D48:W48))&lt;(7500-$C46),10000*X6/1000,7500-$C46-SUM($D48:W48)),0)</f>
        <v>0</v>
      </c>
      <c r="Y48">
        <f>IF(SUM($D48:X48)&lt;(7500-$C46),IF((10000*Y6/1000+SUM($D48:X48))&lt;(7500-$C46),10000*Y6/1000,7500-$C46-SUM($D48:X48)),0)</f>
        <v>0</v>
      </c>
      <c r="Z48">
        <f>IF(SUM($D48:Y48)&lt;(7500-$C46),IF((10000*Z6/1000+SUM($D48:Y48))&lt;(7500-$C46),10000*Z6/1000,7500-$C46-SUM($D48:Y48)),0)</f>
        <v>0</v>
      </c>
      <c r="AA48">
        <f>IF(SUM($D48:Z48)&lt;(7500-$C46),IF((10000*AA6/1000+SUM($D48:Z48))&lt;(7500-$C46),10000*AA6/1000,7500-$C46-SUM($D48:Z48)),0)</f>
        <v>0</v>
      </c>
      <c r="AB48">
        <f>IF(SUM($D48:AA48)&lt;(7500-$C46),IF((10000*AB6/1000+SUM($D48:AA48))&lt;(7500-$C46),10000*AB6/1000,7500-$C46-SUM($D48:AA48)),0)</f>
        <v>0</v>
      </c>
      <c r="AC48">
        <f>IF(SUM($D48:AB48)&lt;(7500-$C46),IF((10000*AC6/1000+SUM($D48:AB48))&lt;(7500-$C46),10000*AC6/1000,7500-$C46-SUM($D48:AB48)),0)</f>
        <v>0</v>
      </c>
      <c r="AD48">
        <f>IF(SUM($D48:AC48)&lt;(7500-$C46),IF((10000*AD6/1000+SUM($D48:AC48))&lt;(7500-$C46),10000*AD6/1000,7500-$C46-SUM($D48:AC48)),0)</f>
        <v>0</v>
      </c>
      <c r="AE48">
        <f>IF(SUM($D48:AD48)&lt;(7500-$C46),IF((10000*AE6/1000+SUM($D48:AD48))&lt;(7500-$C46),10000*AE6/1000,7500-$C46-SUM($D48:AD48)),0)</f>
        <v>0</v>
      </c>
      <c r="AF48">
        <f>IF(SUM($D48:AE48)&lt;(7500-$C46),IF((10000*AF6/1000+SUM($D48:AE48))&lt;(7500-$C46),10000*AF6/1000,7500-$C46-SUM($D48:AE48)),0)</f>
        <v>0</v>
      </c>
      <c r="AG48">
        <f>IF(SUM($D48:AF48)&lt;(7500-$C46),IF((10000*AG6/1000+SUM($D48:AF48))&lt;(7500-$C46),10000*AG6/1000,7500-$C46-SUM($D48:AF48)),0)</f>
        <v>0</v>
      </c>
      <c r="AH48">
        <f>IF(SUM($D48:AG48)&lt;(7500-$C46),IF((10000*AH6/1000+SUM($D48:AG48))&lt;(7500-$C46),10000*AH6/1000,7500-$C46-SUM($D48:AG48)),0)</f>
        <v>0</v>
      </c>
    </row>
    <row r="49" spans="1:34" x14ac:dyDescent="0.25">
      <c r="A49" t="s">
        <v>55</v>
      </c>
      <c r="C49">
        <v>8</v>
      </c>
      <c r="D49" s="11">
        <v>8</v>
      </c>
      <c r="E49" s="11">
        <v>2</v>
      </c>
      <c r="F49" s="11">
        <v>33</v>
      </c>
      <c r="G49" s="11">
        <v>22</v>
      </c>
      <c r="H49">
        <v>42</v>
      </c>
      <c r="I49" s="11">
        <v>12</v>
      </c>
      <c r="J49" s="11">
        <v>1</v>
      </c>
      <c r="K49" s="11">
        <v>3</v>
      </c>
      <c r="L49" s="11">
        <v>2</v>
      </c>
      <c r="M49" s="11">
        <v>2</v>
      </c>
      <c r="N49" s="11">
        <f>N43</f>
        <v>87.434817000000294</v>
      </c>
      <c r="O49" s="11">
        <f>N49+O43</f>
        <v>341.13164699999948</v>
      </c>
      <c r="P49" s="176">
        <f>O49+P43</f>
        <v>201.18896000000001</v>
      </c>
      <c r="Q49" s="23">
        <f>P49+Q43</f>
        <v>417.36833492499943</v>
      </c>
      <c r="R49" s="135">
        <f>Q49+R43</f>
        <v>819.74345391345901</v>
      </c>
      <c r="S49" s="135">
        <f t="shared" ref="S49:AH49" si="34">R49+S43</f>
        <v>1419.0476948089438</v>
      </c>
      <c r="T49" s="135">
        <f t="shared" si="34"/>
        <v>2225.6603709736091</v>
      </c>
      <c r="U49" s="135">
        <f t="shared" si="34"/>
        <v>3250.5368661332286</v>
      </c>
      <c r="V49" s="135">
        <f t="shared" si="34"/>
        <v>4505.2412969641682</v>
      </c>
      <c r="W49" s="135">
        <f t="shared" si="34"/>
        <v>6001.9810348024803</v>
      </c>
      <c r="X49" s="135">
        <f t="shared" si="34"/>
        <v>7633.6431918171056</v>
      </c>
      <c r="Y49" s="135">
        <f t="shared" si="34"/>
        <v>9409.9331829111852</v>
      </c>
      <c r="Z49" s="135">
        <f t="shared" si="34"/>
        <v>11341.188730867634</v>
      </c>
      <c r="AA49" s="135">
        <f t="shared" si="34"/>
        <v>13409.265966368965</v>
      </c>
      <c r="AB49" s="135">
        <f t="shared" si="34"/>
        <v>15585.480684421154</v>
      </c>
      <c r="AC49" s="135">
        <f t="shared" si="34"/>
        <v>17839.937677702361</v>
      </c>
      <c r="AD49" s="135">
        <f t="shared" si="34"/>
        <v>20153.611176796057</v>
      </c>
      <c r="AE49" s="135">
        <f t="shared" si="34"/>
        <v>22528.082357937823</v>
      </c>
      <c r="AF49" s="135">
        <f t="shared" si="34"/>
        <v>24964.97544078956</v>
      </c>
      <c r="AG49" s="135">
        <f t="shared" si="34"/>
        <v>26596.187528106788</v>
      </c>
      <c r="AH49" s="135">
        <f t="shared" si="34"/>
        <v>28141.231741419913</v>
      </c>
    </row>
    <row r="50" spans="1:34" x14ac:dyDescent="0.25">
      <c r="A50" t="s">
        <v>56</v>
      </c>
      <c r="C50">
        <f t="shared" ref="C50:F50" si="35">+C49-B49</f>
        <v>8</v>
      </c>
      <c r="D50" s="11">
        <f t="shared" si="35"/>
        <v>0</v>
      </c>
      <c r="E50" s="11">
        <f t="shared" si="35"/>
        <v>-6</v>
      </c>
      <c r="F50" s="11">
        <f t="shared" si="35"/>
        <v>31</v>
      </c>
      <c r="G50" s="11">
        <f>+G49-F49</f>
        <v>-11</v>
      </c>
      <c r="H50" s="11">
        <f>+H49-G49</f>
        <v>20</v>
      </c>
      <c r="I50" s="11">
        <f t="shared" ref="I50:AH50" si="36">+I49-H49</f>
        <v>-30</v>
      </c>
      <c r="J50" s="11">
        <f t="shared" si="36"/>
        <v>-11</v>
      </c>
      <c r="K50" s="11">
        <f t="shared" si="36"/>
        <v>2</v>
      </c>
      <c r="L50" s="11">
        <f t="shared" si="36"/>
        <v>-1</v>
      </c>
      <c r="M50" s="11">
        <f t="shared" si="36"/>
        <v>0</v>
      </c>
      <c r="N50" s="11">
        <f>+N49-M49</f>
        <v>85.434817000000294</v>
      </c>
      <c r="O50" s="11">
        <f>+O49-N49</f>
        <v>253.69682999999918</v>
      </c>
      <c r="P50" s="176">
        <f>+P49-O49</f>
        <v>-139.94268699999947</v>
      </c>
      <c r="Q50" s="23">
        <f t="shared" si="36"/>
        <v>216.17937492499942</v>
      </c>
      <c r="R50" s="11">
        <f t="shared" si="36"/>
        <v>402.37511898845958</v>
      </c>
      <c r="S50" s="11">
        <f t="shared" si="36"/>
        <v>599.30424089548478</v>
      </c>
      <c r="T50" s="11">
        <f t="shared" si="36"/>
        <v>806.61267616466534</v>
      </c>
      <c r="U50" s="11">
        <f t="shared" si="36"/>
        <v>1024.8764951596195</v>
      </c>
      <c r="V50" s="11">
        <f t="shared" si="36"/>
        <v>1254.7044308309396</v>
      </c>
      <c r="W50" s="11">
        <f t="shared" si="36"/>
        <v>1496.7397378383121</v>
      </c>
      <c r="X50" s="11">
        <f t="shared" si="36"/>
        <v>1631.6621570146253</v>
      </c>
      <c r="Y50" s="11">
        <f t="shared" si="36"/>
        <v>1776.2899910940796</v>
      </c>
      <c r="Z50" s="11">
        <f t="shared" si="36"/>
        <v>1931.2555479564489</v>
      </c>
      <c r="AA50" s="11">
        <f t="shared" si="36"/>
        <v>2068.0772355013305</v>
      </c>
      <c r="AB50" s="11">
        <f t="shared" si="36"/>
        <v>2176.2147180521897</v>
      </c>
      <c r="AC50" s="11">
        <f t="shared" si="36"/>
        <v>2254.4569932812065</v>
      </c>
      <c r="AD50" s="11">
        <f t="shared" si="36"/>
        <v>2313.6734990936966</v>
      </c>
      <c r="AE50" s="11">
        <f t="shared" si="36"/>
        <v>2374.4711811417656</v>
      </c>
      <c r="AF50" s="11">
        <f t="shared" si="36"/>
        <v>2436.8930828517368</v>
      </c>
      <c r="AG50" s="11">
        <f t="shared" si="36"/>
        <v>1631.212087317228</v>
      </c>
      <c r="AH50" s="11">
        <f t="shared" si="36"/>
        <v>1545.0442133131255</v>
      </c>
    </row>
    <row r="51" spans="1:34" x14ac:dyDescent="0.25">
      <c r="A51" t="s">
        <v>83</v>
      </c>
      <c r="D51" s="59"/>
      <c r="E51" s="59"/>
      <c r="F51" s="59"/>
      <c r="G51" s="59"/>
      <c r="H51" s="59"/>
      <c r="I51" s="59"/>
      <c r="N51" s="43"/>
    </row>
    <row r="73" spans="1:40" x14ac:dyDescent="0.25">
      <c r="C73" s="4"/>
    </row>
    <row r="74" spans="1:40" x14ac:dyDescent="0.25">
      <c r="G74" s="14">
        <f t="shared" ref="G74:AH74" si="37">G3</f>
        <v>2013</v>
      </c>
      <c r="H74" s="14">
        <f t="shared" si="37"/>
        <v>2014</v>
      </c>
      <c r="I74" s="14">
        <f t="shared" si="37"/>
        <v>2015</v>
      </c>
      <c r="J74" s="14">
        <f t="shared" si="37"/>
        <v>2016</v>
      </c>
      <c r="K74" s="14">
        <f t="shared" si="37"/>
        <v>2017</v>
      </c>
      <c r="L74" s="14">
        <f t="shared" si="37"/>
        <v>2018</v>
      </c>
      <c r="M74" s="14">
        <f t="shared" si="37"/>
        <v>2019</v>
      </c>
      <c r="N74" s="14">
        <f t="shared" si="37"/>
        <v>2020</v>
      </c>
      <c r="O74" s="14">
        <f t="shared" si="37"/>
        <v>2021</v>
      </c>
      <c r="P74" s="177">
        <f t="shared" si="37"/>
        <v>2022</v>
      </c>
      <c r="Q74" s="14">
        <f t="shared" si="37"/>
        <v>2023</v>
      </c>
      <c r="R74" s="14">
        <f t="shared" si="37"/>
        <v>2024</v>
      </c>
      <c r="S74" s="14">
        <f t="shared" si="37"/>
        <v>2025</v>
      </c>
      <c r="T74" s="14">
        <f t="shared" si="37"/>
        <v>2026</v>
      </c>
      <c r="U74" s="14">
        <f t="shared" si="37"/>
        <v>2027</v>
      </c>
      <c r="V74" s="14">
        <f t="shared" si="37"/>
        <v>2028</v>
      </c>
      <c r="W74" s="14">
        <f t="shared" si="37"/>
        <v>2029</v>
      </c>
      <c r="X74" s="14">
        <f t="shared" si="37"/>
        <v>2030</v>
      </c>
      <c r="Y74" s="14">
        <f t="shared" si="37"/>
        <v>2031</v>
      </c>
      <c r="Z74" s="14">
        <f t="shared" si="37"/>
        <v>2032</v>
      </c>
      <c r="AA74" s="14">
        <f t="shared" si="37"/>
        <v>2033</v>
      </c>
      <c r="AB74" s="14">
        <f t="shared" si="37"/>
        <v>2034</v>
      </c>
      <c r="AC74" s="14">
        <f t="shared" si="37"/>
        <v>2035</v>
      </c>
      <c r="AD74" s="14">
        <f t="shared" si="37"/>
        <v>2036</v>
      </c>
      <c r="AE74" s="14">
        <f t="shared" si="37"/>
        <v>2037</v>
      </c>
      <c r="AF74" s="14">
        <f t="shared" si="37"/>
        <v>2038</v>
      </c>
      <c r="AG74" s="14">
        <f t="shared" si="37"/>
        <v>2039</v>
      </c>
      <c r="AH74" s="14">
        <f t="shared" si="37"/>
        <v>2040</v>
      </c>
    </row>
    <row r="75" spans="1:40" x14ac:dyDescent="0.25">
      <c r="A75" t="s">
        <v>62</v>
      </c>
      <c r="C75" s="10">
        <f t="shared" ref="C75:AH75" si="38">+C34-C18+C24+C29</f>
        <v>-277</v>
      </c>
      <c r="D75" s="10">
        <f t="shared" si="38"/>
        <v>-186</v>
      </c>
      <c r="E75" s="10">
        <f t="shared" si="38"/>
        <v>-183</v>
      </c>
      <c r="F75" s="10">
        <f t="shared" si="38"/>
        <v>-158</v>
      </c>
      <c r="G75" s="10">
        <f t="shared" si="38"/>
        <v>-143</v>
      </c>
      <c r="H75" s="10">
        <f t="shared" si="38"/>
        <v>-112</v>
      </c>
      <c r="I75" s="10">
        <f t="shared" si="38"/>
        <v>-113</v>
      </c>
      <c r="J75" s="10">
        <f t="shared" si="38"/>
        <v>0</v>
      </c>
      <c r="K75" s="10">
        <f t="shared" si="38"/>
        <v>127</v>
      </c>
      <c r="L75" s="10">
        <f t="shared" si="38"/>
        <v>186</v>
      </c>
      <c r="M75" s="10">
        <f>+M34-M18+M24+M29</f>
        <v>181.32079000000056</v>
      </c>
      <c r="N75" s="10">
        <f t="shared" si="38"/>
        <v>246.90053000000029</v>
      </c>
      <c r="O75" s="10">
        <f t="shared" si="38"/>
        <v>246.6193999999997</v>
      </c>
      <c r="P75" s="178">
        <f t="shared" si="38"/>
        <v>211.7907799999999</v>
      </c>
      <c r="Q75" s="10">
        <f t="shared" si="38"/>
        <v>292.55479999999932</v>
      </c>
      <c r="R75" s="10">
        <f t="shared" si="38"/>
        <v>374.10756804750014</v>
      </c>
      <c r="S75" s="10">
        <f t="shared" si="38"/>
        <v>469.5212699231252</v>
      </c>
      <c r="T75" s="10">
        <f t="shared" si="38"/>
        <v>573.16860870567393</v>
      </c>
      <c r="U75" s="10">
        <f t="shared" si="38"/>
        <v>685.62323990033406</v>
      </c>
      <c r="V75" s="10">
        <f t="shared" si="38"/>
        <v>807.49526525262092</v>
      </c>
      <c r="W75" s="10">
        <f t="shared" si="38"/>
        <v>939.43343317710719</v>
      </c>
      <c r="X75" s="10">
        <f t="shared" si="38"/>
        <v>1082.1274678117347</v>
      </c>
      <c r="Y75" s="10">
        <f t="shared" si="38"/>
        <v>1236.3105340501302</v>
      </c>
      <c r="Z75" s="10">
        <f t="shared" si="38"/>
        <v>1402.7618463177816</v>
      </c>
      <c r="AA75" s="10">
        <f t="shared" si="38"/>
        <v>1544.2632914652784</v>
      </c>
      <c r="AB75" s="10">
        <f t="shared" si="38"/>
        <v>1647.0352179039455</v>
      </c>
      <c r="AC75" s="10">
        <f t="shared" si="38"/>
        <v>1709.4820130635396</v>
      </c>
      <c r="AD75" s="10">
        <f t="shared" si="38"/>
        <v>1745.7743410967582</v>
      </c>
      <c r="AE75" s="10">
        <f t="shared" si="38"/>
        <v>1782.7806356620083</v>
      </c>
      <c r="AF75" s="10">
        <f t="shared" si="38"/>
        <v>1820.5129456725224</v>
      </c>
      <c r="AG75" s="10">
        <f t="shared" si="38"/>
        <v>1858.9834472568689</v>
      </c>
      <c r="AH75" s="10">
        <f t="shared" si="38"/>
        <v>1898.2044417191019</v>
      </c>
      <c r="AI75" s="10"/>
      <c r="AJ75" s="10"/>
      <c r="AK75" s="10"/>
      <c r="AL75" s="10"/>
      <c r="AM75" s="10"/>
      <c r="AN75" s="10"/>
    </row>
    <row r="76" spans="1:40" x14ac:dyDescent="0.25">
      <c r="A76" t="s">
        <v>63</v>
      </c>
      <c r="C76" s="90">
        <f t="shared" ref="C76:AH76" si="39">+C34-C75</f>
        <v>-310</v>
      </c>
      <c r="D76" s="90">
        <f t="shared" si="39"/>
        <v>-199</v>
      </c>
      <c r="E76" s="90">
        <f t="shared" si="39"/>
        <v>-71</v>
      </c>
      <c r="F76" s="90">
        <f t="shared" si="39"/>
        <v>-83</v>
      </c>
      <c r="G76" s="90">
        <f t="shared" si="39"/>
        <v>-73</v>
      </c>
      <c r="H76" s="90">
        <f t="shared" si="39"/>
        <v>-101</v>
      </c>
      <c r="I76" s="90">
        <f t="shared" si="39"/>
        <v>-162</v>
      </c>
      <c r="J76" s="90">
        <f t="shared" si="39"/>
        <v>-164</v>
      </c>
      <c r="K76" s="90">
        <f>+K34-K75</f>
        <v>-232</v>
      </c>
      <c r="L76" s="90">
        <f t="shared" si="39"/>
        <v>-180</v>
      </c>
      <c r="M76" s="90">
        <f>+M34-M75</f>
        <v>-129.12335000000041</v>
      </c>
      <c r="N76" s="90">
        <f t="shared" si="39"/>
        <v>41.534287000000006</v>
      </c>
      <c r="O76" s="90">
        <f>+O34-O75</f>
        <v>182.74383</v>
      </c>
      <c r="P76" s="179">
        <f>+P34-P75</f>
        <v>201.58676000000006</v>
      </c>
      <c r="Q76" s="90">
        <f t="shared" si="39"/>
        <v>97.924640000000068</v>
      </c>
      <c r="R76" s="90">
        <f t="shared" si="39"/>
        <v>100.86237920000002</v>
      </c>
      <c r="S76" s="90">
        <f t="shared" si="39"/>
        <v>103.88825057599996</v>
      </c>
      <c r="T76" s="90">
        <f t="shared" si="39"/>
        <v>107.00489809327996</v>
      </c>
      <c r="U76" s="90">
        <f t="shared" si="39"/>
        <v>110.21504503607844</v>
      </c>
      <c r="V76" s="90">
        <f t="shared" si="39"/>
        <v>113.52149638716071</v>
      </c>
      <c r="W76" s="90">
        <f t="shared" si="39"/>
        <v>116.92714127877548</v>
      </c>
      <c r="X76" s="90">
        <f t="shared" si="39"/>
        <v>120.43495551713886</v>
      </c>
      <c r="Y76" s="90">
        <f t="shared" si="39"/>
        <v>124.04800418265313</v>
      </c>
      <c r="Z76" s="90">
        <f t="shared" si="39"/>
        <v>127.76944430813251</v>
      </c>
      <c r="AA76" s="90">
        <f t="shared" si="39"/>
        <v>131.6025276373764</v>
      </c>
      <c r="AB76" s="90">
        <f t="shared" si="39"/>
        <v>135.55060346649771</v>
      </c>
      <c r="AC76" s="90">
        <f t="shared" si="39"/>
        <v>139.61712157049283</v>
      </c>
      <c r="AD76" s="90">
        <f t="shared" si="39"/>
        <v>143.80563521760769</v>
      </c>
      <c r="AE76" s="90">
        <f t="shared" si="39"/>
        <v>148.11980427413596</v>
      </c>
      <c r="AF76" s="90">
        <f t="shared" si="39"/>
        <v>152.56339840236001</v>
      </c>
      <c r="AG76" s="90">
        <f t="shared" si="39"/>
        <v>157.14030035443079</v>
      </c>
      <c r="AH76" s="90">
        <f t="shared" si="39"/>
        <v>161.85450936506368</v>
      </c>
      <c r="AI76" s="90"/>
      <c r="AJ76" s="90"/>
      <c r="AK76" s="90"/>
      <c r="AL76" s="90"/>
      <c r="AM76" s="90"/>
      <c r="AN76" s="90"/>
    </row>
    <row r="77" spans="1:40" x14ac:dyDescent="0.25">
      <c r="A77" t="s">
        <v>64</v>
      </c>
      <c r="C77" s="10">
        <f t="shared" ref="C77:AH77" si="40">+C75+C76</f>
        <v>-587</v>
      </c>
      <c r="D77" s="10">
        <f t="shared" si="40"/>
        <v>-385</v>
      </c>
      <c r="E77" s="10">
        <f t="shared" si="40"/>
        <v>-254</v>
      </c>
      <c r="F77" s="10">
        <f t="shared" si="40"/>
        <v>-241</v>
      </c>
      <c r="G77" s="10">
        <f t="shared" si="40"/>
        <v>-216</v>
      </c>
      <c r="H77" s="10">
        <f t="shared" si="40"/>
        <v>-213</v>
      </c>
      <c r="I77" s="10">
        <f t="shared" si="40"/>
        <v>-275</v>
      </c>
      <c r="J77" s="10">
        <f t="shared" si="40"/>
        <v>-164</v>
      </c>
      <c r="K77" s="10">
        <f t="shared" si="40"/>
        <v>-105</v>
      </c>
      <c r="L77" s="10">
        <f t="shared" si="40"/>
        <v>6</v>
      </c>
      <c r="M77" s="10">
        <f t="shared" si="40"/>
        <v>52.197440000000142</v>
      </c>
      <c r="N77" s="10">
        <f t="shared" si="40"/>
        <v>288.43481700000029</v>
      </c>
      <c r="O77" s="10">
        <f t="shared" si="40"/>
        <v>429.3632299999997</v>
      </c>
      <c r="P77" s="178">
        <f t="shared" si="40"/>
        <v>413.37753999999995</v>
      </c>
      <c r="Q77" s="10">
        <f t="shared" si="40"/>
        <v>390.47943999999939</v>
      </c>
      <c r="R77" s="10">
        <f t="shared" si="40"/>
        <v>474.96994724750016</v>
      </c>
      <c r="S77" s="10">
        <f t="shared" si="40"/>
        <v>573.40952049912516</v>
      </c>
      <c r="T77" s="10">
        <f t="shared" si="40"/>
        <v>680.17350679895389</v>
      </c>
      <c r="U77" s="10">
        <f t="shared" si="40"/>
        <v>795.83828493641249</v>
      </c>
      <c r="V77" s="10">
        <f t="shared" si="40"/>
        <v>921.01676163978163</v>
      </c>
      <c r="W77" s="10">
        <f t="shared" si="40"/>
        <v>1056.3605744558827</v>
      </c>
      <c r="X77" s="10">
        <f t="shared" si="40"/>
        <v>1202.5624233288736</v>
      </c>
      <c r="Y77" s="10">
        <f t="shared" si="40"/>
        <v>1360.3585382327833</v>
      </c>
      <c r="Z77" s="10">
        <f t="shared" si="40"/>
        <v>1530.5312906259142</v>
      </c>
      <c r="AA77" s="10">
        <f t="shared" si="40"/>
        <v>1675.8658191026548</v>
      </c>
      <c r="AB77" s="10">
        <f t="shared" si="40"/>
        <v>1782.5858213704432</v>
      </c>
      <c r="AC77" s="10">
        <f t="shared" si="40"/>
        <v>1849.0991346340325</v>
      </c>
      <c r="AD77" s="10">
        <f t="shared" si="40"/>
        <v>1889.5799763143659</v>
      </c>
      <c r="AE77" s="10">
        <f t="shared" si="40"/>
        <v>1930.9004399361443</v>
      </c>
      <c r="AF77" s="10">
        <f t="shared" si="40"/>
        <v>1973.0763440748824</v>
      </c>
      <c r="AG77" s="10">
        <f t="shared" si="40"/>
        <v>2016.1237476112997</v>
      </c>
      <c r="AH77" s="10">
        <f t="shared" si="40"/>
        <v>2060.0589510841655</v>
      </c>
      <c r="AI77" s="10"/>
      <c r="AJ77" s="10"/>
      <c r="AK77" s="10"/>
      <c r="AL77" s="10"/>
      <c r="AM77" s="10"/>
      <c r="AN77" s="10"/>
    </row>
    <row r="79" spans="1:40" x14ac:dyDescent="0.25">
      <c r="M79" s="10"/>
      <c r="N79" s="10"/>
      <c r="O79" s="10"/>
      <c r="P79" s="128"/>
    </row>
    <row r="80" spans="1:40" x14ac:dyDescent="0.25">
      <c r="F80" s="43"/>
      <c r="G80" s="43"/>
      <c r="H80" s="43"/>
      <c r="I80" s="43"/>
      <c r="J80" s="43"/>
      <c r="K80" s="43"/>
      <c r="L80" s="43"/>
      <c r="M80" s="43"/>
      <c r="N80" s="43"/>
      <c r="O80" s="43"/>
      <c r="P80" s="152"/>
      <c r="Q80" s="152"/>
      <c r="R80" s="43"/>
      <c r="S80" s="43"/>
      <c r="T80" s="43"/>
      <c r="U80" s="43"/>
      <c r="V80" s="43"/>
      <c r="W80" s="43"/>
      <c r="X80" s="43"/>
      <c r="Y80" s="43"/>
      <c r="Z80" s="43"/>
      <c r="AA80" s="43"/>
      <c r="AB80" s="43"/>
      <c r="AC80" s="43"/>
    </row>
    <row r="81" spans="4:29" x14ac:dyDescent="0.25">
      <c r="D81" s="59"/>
      <c r="E81" s="59"/>
      <c r="F81" s="4"/>
      <c r="G81" s="4"/>
      <c r="H81" s="4"/>
      <c r="I81" s="4"/>
      <c r="J81" s="4"/>
      <c r="K81" s="4"/>
      <c r="L81" s="4"/>
      <c r="M81" s="4"/>
      <c r="N81" s="4"/>
      <c r="O81" s="43"/>
      <c r="P81" s="153"/>
      <c r="Q81" s="153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</row>
    <row r="82" spans="4:29" x14ac:dyDescent="0.25">
      <c r="F82" s="59"/>
      <c r="G82" s="59"/>
      <c r="H82" s="59"/>
      <c r="I82" s="59"/>
      <c r="J82" s="59"/>
      <c r="K82" s="59"/>
      <c r="L82" s="59"/>
      <c r="M82" s="59"/>
      <c r="N82" s="59"/>
      <c r="O82" s="59"/>
      <c r="P82" s="154"/>
      <c r="Q82" s="154"/>
      <c r="R82" s="59"/>
      <c r="S82" s="59"/>
      <c r="T82" s="59"/>
      <c r="U82" s="59"/>
      <c r="V82" s="59"/>
      <c r="W82" s="59"/>
      <c r="X82" s="59"/>
      <c r="Y82" s="59"/>
      <c r="Z82" s="59"/>
      <c r="AA82" s="59"/>
      <c r="AB82" s="59"/>
      <c r="AC82" s="59"/>
    </row>
    <row r="86" spans="4:29" x14ac:dyDescent="0.25">
      <c r="H86" s="10"/>
      <c r="K86" s="111"/>
      <c r="L86" s="111"/>
      <c r="M86" s="111"/>
      <c r="N86" s="111"/>
      <c r="O86" s="111"/>
      <c r="P86" s="155"/>
      <c r="Q86" s="155"/>
      <c r="R86" s="111"/>
      <c r="S86" s="111"/>
      <c r="T86" s="111"/>
      <c r="U86" s="111"/>
      <c r="V86" s="111"/>
      <c r="W86" s="111"/>
      <c r="X86" s="111"/>
      <c r="Y86" s="111"/>
      <c r="Z86" s="111"/>
      <c r="AA86" s="111"/>
      <c r="AB86" s="111"/>
      <c r="AC86" s="111"/>
    </row>
    <row r="88" spans="4:29" x14ac:dyDescent="0.25">
      <c r="L88" s="103"/>
    </row>
    <row r="91" spans="4:29" x14ac:dyDescent="0.25">
      <c r="N91" s="10"/>
      <c r="O91" s="10"/>
      <c r="P91" s="128"/>
      <c r="Q91" s="128"/>
      <c r="R91" s="10"/>
      <c r="S91" s="10"/>
      <c r="T91" s="10"/>
      <c r="U91" s="10"/>
      <c r="V91" s="10"/>
      <c r="W91" s="10"/>
      <c r="X91" s="10"/>
      <c r="Y91" s="10"/>
      <c r="Z91" s="10"/>
      <c r="AA91" s="10"/>
      <c r="AB91" s="10"/>
      <c r="AC91" s="10"/>
    </row>
  </sheetData>
  <pageMargins left="0.25" right="0.25" top="0.25" bottom="0.25" header="0.3" footer="0.3"/>
  <pageSetup scale="50" orientation="landscape" r:id="rId1"/>
  <drawing r:id="rId2"/>
  <legacyDrawing r:id="rId3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FE8FA5-E333-4CFD-8E57-F288686A5C5F}">
  <sheetPr>
    <pageSetUpPr fitToPage="1"/>
  </sheetPr>
  <dimension ref="A1:AN91"/>
  <sheetViews>
    <sheetView zoomScale="110" zoomScaleNormal="110" workbookViewId="0">
      <pane xSplit="1" ySplit="2" topLeftCell="B3" activePane="bottomRight" state="frozen"/>
      <selection pane="topRight" activeCell="B1" sqref="B1"/>
      <selection pane="bottomLeft" activeCell="A3" sqref="A3"/>
      <selection pane="bottomRight" sqref="A1:XFD1048576"/>
    </sheetView>
  </sheetViews>
  <sheetFormatPr defaultRowHeight="15" x14ac:dyDescent="0.25"/>
  <cols>
    <col min="1" max="1" width="42.7109375" bestFit="1" customWidth="1"/>
    <col min="2" max="2" width="3.7109375" customWidth="1"/>
    <col min="3" max="3" width="11.5703125" hidden="1" customWidth="1"/>
    <col min="4" max="4" width="9.5703125" hidden="1" customWidth="1"/>
    <col min="5" max="5" width="10.5703125" hidden="1" customWidth="1"/>
    <col min="6" max="6" width="10" hidden="1" customWidth="1"/>
    <col min="7" max="7" width="9.42578125" hidden="1" customWidth="1"/>
    <col min="8" max="10" width="8.5703125" hidden="1" customWidth="1"/>
    <col min="11" max="11" width="9.42578125" hidden="1" customWidth="1"/>
    <col min="12" max="12" width="8.5703125" hidden="1" customWidth="1"/>
    <col min="13" max="16" width="8.5703125" customWidth="1"/>
    <col min="17" max="17" width="8.5703125" style="50" customWidth="1"/>
    <col min="18" max="29" width="8.5703125" customWidth="1"/>
  </cols>
  <sheetData>
    <row r="1" spans="1:34" ht="23.25" customHeight="1" x14ac:dyDescent="0.4">
      <c r="A1" s="19" t="s">
        <v>22</v>
      </c>
      <c r="M1" s="50"/>
      <c r="N1" s="50"/>
      <c r="O1" s="50"/>
      <c r="P1" s="50"/>
    </row>
    <row r="2" spans="1:34" ht="18.75" x14ac:dyDescent="0.3">
      <c r="A2" s="20" t="s">
        <v>85</v>
      </c>
      <c r="G2" s="10"/>
      <c r="H2" s="79"/>
      <c r="I2" s="79"/>
      <c r="J2" s="79"/>
      <c r="K2" s="79"/>
      <c r="L2" s="79"/>
      <c r="N2" s="138"/>
      <c r="O2" s="156"/>
      <c r="P2" s="156"/>
      <c r="Q2" s="165" t="s">
        <v>79</v>
      </c>
      <c r="R2" s="180" t="s">
        <v>57</v>
      </c>
    </row>
    <row r="3" spans="1:34" x14ac:dyDescent="0.25">
      <c r="A3" t="s">
        <v>28</v>
      </c>
      <c r="C3" s="14">
        <v>2009</v>
      </c>
      <c r="D3" s="14">
        <v>2010</v>
      </c>
      <c r="E3" s="14">
        <v>2011</v>
      </c>
      <c r="F3" s="14">
        <v>2012</v>
      </c>
      <c r="G3" s="14">
        <f t="shared" ref="G3:V3" si="0">+F3+1</f>
        <v>2013</v>
      </c>
      <c r="H3" s="14">
        <f t="shared" si="0"/>
        <v>2014</v>
      </c>
      <c r="I3" s="14">
        <f t="shared" si="0"/>
        <v>2015</v>
      </c>
      <c r="J3" s="14">
        <f t="shared" si="0"/>
        <v>2016</v>
      </c>
      <c r="K3" s="14">
        <f t="shared" si="0"/>
        <v>2017</v>
      </c>
      <c r="L3" s="14">
        <f t="shared" si="0"/>
        <v>2018</v>
      </c>
      <c r="M3" s="14">
        <f t="shared" si="0"/>
        <v>2019</v>
      </c>
      <c r="N3" s="14">
        <f t="shared" si="0"/>
        <v>2020</v>
      </c>
      <c r="O3" s="14">
        <f t="shared" si="0"/>
        <v>2021</v>
      </c>
      <c r="P3" s="14">
        <f t="shared" si="0"/>
        <v>2022</v>
      </c>
      <c r="Q3" s="166">
        <f t="shared" si="0"/>
        <v>2023</v>
      </c>
      <c r="R3" s="181">
        <f t="shared" si="0"/>
        <v>2024</v>
      </c>
      <c r="S3" s="14">
        <f t="shared" si="0"/>
        <v>2025</v>
      </c>
      <c r="T3" s="14">
        <f t="shared" si="0"/>
        <v>2026</v>
      </c>
      <c r="U3" s="14">
        <f t="shared" si="0"/>
        <v>2027</v>
      </c>
      <c r="V3" s="14">
        <f t="shared" si="0"/>
        <v>2028</v>
      </c>
      <c r="W3" s="14">
        <f>+V3+1</f>
        <v>2029</v>
      </c>
      <c r="X3" s="14">
        <f>+W3+1</f>
        <v>2030</v>
      </c>
      <c r="Y3" s="14">
        <f t="shared" ref="Y3:AH3" si="1">+X3+1</f>
        <v>2031</v>
      </c>
      <c r="Z3" s="14">
        <f t="shared" si="1"/>
        <v>2032</v>
      </c>
      <c r="AA3" s="14">
        <f t="shared" si="1"/>
        <v>2033</v>
      </c>
      <c r="AB3" s="14">
        <f t="shared" si="1"/>
        <v>2034</v>
      </c>
      <c r="AC3" s="14">
        <f t="shared" si="1"/>
        <v>2035</v>
      </c>
      <c r="AD3" s="14">
        <f t="shared" si="1"/>
        <v>2036</v>
      </c>
      <c r="AE3" s="14">
        <f t="shared" si="1"/>
        <v>2037</v>
      </c>
      <c r="AF3" s="14">
        <f t="shared" si="1"/>
        <v>2038</v>
      </c>
      <c r="AG3" s="14">
        <f t="shared" si="1"/>
        <v>2039</v>
      </c>
      <c r="AH3" s="14">
        <f t="shared" si="1"/>
        <v>2040</v>
      </c>
    </row>
    <row r="4" spans="1:34" x14ac:dyDescent="0.25">
      <c r="Q4" s="161"/>
      <c r="R4" s="149"/>
    </row>
    <row r="5" spans="1:34" s="4" customFormat="1" x14ac:dyDescent="0.25">
      <c r="A5" s="104" t="s">
        <v>50</v>
      </c>
      <c r="C5" s="43">
        <v>332</v>
      </c>
      <c r="D5" s="43">
        <f>+C5+D6</f>
        <v>379</v>
      </c>
      <c r="E5" s="43">
        <f t="shared" ref="E5:AH5" si="2">+D5+E6</f>
        <v>424</v>
      </c>
      <c r="F5" s="43">
        <f t="shared" si="2"/>
        <v>468</v>
      </c>
      <c r="G5" s="43">
        <f t="shared" si="2"/>
        <v>510</v>
      </c>
      <c r="H5" s="43">
        <f t="shared" si="2"/>
        <v>544</v>
      </c>
      <c r="I5" s="43">
        <f t="shared" si="2"/>
        <v>581</v>
      </c>
      <c r="J5" s="43">
        <f t="shared" si="2"/>
        <v>615</v>
      </c>
      <c r="K5" s="43">
        <f t="shared" si="2"/>
        <v>671</v>
      </c>
      <c r="L5" s="43">
        <f t="shared" si="2"/>
        <v>717</v>
      </c>
      <c r="M5" s="43">
        <v>764</v>
      </c>
      <c r="N5">
        <v>820</v>
      </c>
      <c r="O5">
        <v>884</v>
      </c>
      <c r="P5">
        <v>937</v>
      </c>
      <c r="Q5" s="161">
        <v>979</v>
      </c>
      <c r="R5" s="182">
        <v>1000</v>
      </c>
      <c r="S5" s="4">
        <f t="shared" si="2"/>
        <v>1042</v>
      </c>
      <c r="T5" s="4">
        <f t="shared" si="2"/>
        <v>1084</v>
      </c>
      <c r="U5" s="4">
        <f t="shared" si="2"/>
        <v>1126</v>
      </c>
      <c r="V5" s="4">
        <f t="shared" si="2"/>
        <v>1168</v>
      </c>
      <c r="W5" s="4">
        <f t="shared" si="2"/>
        <v>1210</v>
      </c>
      <c r="X5" s="4">
        <f t="shared" si="2"/>
        <v>1252</v>
      </c>
      <c r="Y5" s="4">
        <f t="shared" si="2"/>
        <v>1294</v>
      </c>
      <c r="Z5" s="4">
        <f t="shared" si="2"/>
        <v>1336</v>
      </c>
      <c r="AA5" s="4">
        <f t="shared" si="2"/>
        <v>1378</v>
      </c>
      <c r="AB5" s="4">
        <f t="shared" si="2"/>
        <v>1404</v>
      </c>
      <c r="AC5" s="4">
        <f t="shared" si="2"/>
        <v>1404</v>
      </c>
      <c r="AD5" s="4">
        <f t="shared" si="2"/>
        <v>1404</v>
      </c>
      <c r="AE5" s="4">
        <f t="shared" si="2"/>
        <v>1404</v>
      </c>
      <c r="AF5" s="4">
        <f t="shared" si="2"/>
        <v>1404</v>
      </c>
      <c r="AG5" s="4">
        <f t="shared" si="2"/>
        <v>1404</v>
      </c>
      <c r="AH5" s="4">
        <f t="shared" si="2"/>
        <v>1404</v>
      </c>
    </row>
    <row r="6" spans="1:34" x14ac:dyDescent="0.25">
      <c r="A6" s="1" t="s">
        <v>68</v>
      </c>
      <c r="D6" s="3">
        <v>47</v>
      </c>
      <c r="E6" s="3">
        <v>45</v>
      </c>
      <c r="F6" s="3">
        <v>44</v>
      </c>
      <c r="G6" s="3">
        <v>42</v>
      </c>
      <c r="H6" s="3">
        <v>34</v>
      </c>
      <c r="I6" s="3">
        <v>37</v>
      </c>
      <c r="J6" s="3">
        <v>34</v>
      </c>
      <c r="K6" s="3">
        <v>56</v>
      </c>
      <c r="L6" s="3">
        <v>46</v>
      </c>
      <c r="M6" s="3">
        <f>+M5-L5</f>
        <v>47</v>
      </c>
      <c r="N6" s="139">
        <f>N5-M5</f>
        <v>56</v>
      </c>
      <c r="O6" s="139">
        <f>O5-N5</f>
        <v>64</v>
      </c>
      <c r="P6" s="139">
        <f>P5-O5</f>
        <v>53</v>
      </c>
      <c r="Q6" s="162">
        <f>Q5-P5</f>
        <v>42</v>
      </c>
      <c r="R6" s="183">
        <f>R5-Q5</f>
        <v>21</v>
      </c>
      <c r="S6" s="3">
        <v>42</v>
      </c>
      <c r="T6" s="3">
        <v>42</v>
      </c>
      <c r="U6" s="3">
        <v>42</v>
      </c>
      <c r="V6" s="3">
        <v>42</v>
      </c>
      <c r="W6" s="3">
        <v>42</v>
      </c>
      <c r="X6" s="3">
        <v>42</v>
      </c>
      <c r="Y6" s="3">
        <v>42</v>
      </c>
      <c r="Z6" s="3">
        <v>42</v>
      </c>
      <c r="AA6" s="3">
        <v>42</v>
      </c>
      <c r="AB6" s="3">
        <v>26</v>
      </c>
      <c r="AC6" s="3">
        <v>0</v>
      </c>
      <c r="AD6" s="3">
        <v>0</v>
      </c>
      <c r="AE6" s="3">
        <v>0</v>
      </c>
      <c r="AF6" s="3">
        <v>0</v>
      </c>
      <c r="AG6" s="3">
        <v>0</v>
      </c>
      <c r="AH6" s="3">
        <v>0</v>
      </c>
    </row>
    <row r="7" spans="1:34" s="105" customFormat="1" x14ac:dyDescent="0.25">
      <c r="A7" s="105" t="s">
        <v>32</v>
      </c>
      <c r="D7" s="106">
        <f>+D8/C8-1</f>
        <v>9.8654708520179435E-2</v>
      </c>
      <c r="E7" s="106">
        <v>0</v>
      </c>
      <c r="F7" s="106">
        <v>0.05</v>
      </c>
      <c r="G7" s="106">
        <v>0.05</v>
      </c>
      <c r="H7" s="107">
        <v>0.05</v>
      </c>
      <c r="I7" s="107">
        <v>0.05</v>
      </c>
      <c r="J7" s="107">
        <v>0.05</v>
      </c>
      <c r="K7" s="107">
        <v>0</v>
      </c>
      <c r="L7" s="107">
        <v>0.05</v>
      </c>
      <c r="M7" s="107">
        <v>0.05</v>
      </c>
      <c r="N7" s="107">
        <f>+N8/M8-1</f>
        <v>4.9999999999999822E-2</v>
      </c>
      <c r="O7" s="107">
        <f t="shared" ref="O7:AH7" si="3">+O8/N8-1</f>
        <v>5.0000000000000044E-2</v>
      </c>
      <c r="P7" s="107">
        <f t="shared" si="3"/>
        <v>5.0000000000000044E-2</v>
      </c>
      <c r="Q7" s="108">
        <f t="shared" si="3"/>
        <v>5.0366252074842244E-2</v>
      </c>
      <c r="R7" s="109">
        <f t="shared" si="3"/>
        <v>5.0014344458257698E-2</v>
      </c>
      <c r="S7" s="110">
        <f t="shared" si="3"/>
        <v>5.0000000000000044E-2</v>
      </c>
      <c r="T7" s="110">
        <f t="shared" si="3"/>
        <v>5.0000000000000044E-2</v>
      </c>
      <c r="U7" s="110">
        <f t="shared" si="3"/>
        <v>5.0000000000000044E-2</v>
      </c>
      <c r="V7" s="110">
        <f t="shared" si="3"/>
        <v>5.0000000000000044E-2</v>
      </c>
      <c r="W7" s="110">
        <f t="shared" si="3"/>
        <v>5.0000000000000044E-2</v>
      </c>
      <c r="X7" s="110">
        <f t="shared" si="3"/>
        <v>5.0000000000000044E-2</v>
      </c>
      <c r="Y7" s="110">
        <f t="shared" si="3"/>
        <v>5.0000000000000044E-2</v>
      </c>
      <c r="Z7" s="110">
        <f t="shared" si="3"/>
        <v>5.0000000000000044E-2</v>
      </c>
      <c r="AA7" s="110">
        <f t="shared" si="3"/>
        <v>3.5343450553065647E-2</v>
      </c>
      <c r="AB7" s="110">
        <f t="shared" si="3"/>
        <v>2.5000000000000133E-2</v>
      </c>
      <c r="AC7" s="110">
        <f t="shared" si="3"/>
        <v>2.5000000000000133E-2</v>
      </c>
      <c r="AD7" s="110">
        <f t="shared" si="3"/>
        <v>2.4999999999999911E-2</v>
      </c>
      <c r="AE7" s="110">
        <f t="shared" si="3"/>
        <v>2.4999999999999911E-2</v>
      </c>
      <c r="AF7" s="110">
        <f t="shared" si="3"/>
        <v>2.4999999999999911E-2</v>
      </c>
      <c r="AG7" s="110">
        <f t="shared" si="3"/>
        <v>2.5000000000000133E-2</v>
      </c>
      <c r="AH7" s="110">
        <f t="shared" si="3"/>
        <v>2.4999999999999911E-2</v>
      </c>
    </row>
    <row r="8" spans="1:34" x14ac:dyDescent="0.25">
      <c r="A8" t="s">
        <v>3</v>
      </c>
      <c r="C8" s="3">
        <f>55.75*12</f>
        <v>669</v>
      </c>
      <c r="D8" s="3">
        <v>735</v>
      </c>
      <c r="E8" s="3">
        <v>735</v>
      </c>
      <c r="F8" s="121">
        <v>772</v>
      </c>
      <c r="G8" s="121">
        <v>810</v>
      </c>
      <c r="H8" s="122">
        <v>850</v>
      </c>
      <c r="I8" s="122">
        <v>892</v>
      </c>
      <c r="J8" s="122">
        <v>936</v>
      </c>
      <c r="K8" s="122">
        <v>936</v>
      </c>
      <c r="L8" s="122">
        <v>984</v>
      </c>
      <c r="M8" s="122">
        <v>1032</v>
      </c>
      <c r="N8" s="122">
        <v>1083.5999999999999</v>
      </c>
      <c r="O8" s="122">
        <f t="shared" ref="O8:AH8" si="4">IF(M45=0,N8,MIN(1.05*N8,1200*1.025^(O3-$F3)))</f>
        <v>1137.78</v>
      </c>
      <c r="P8" s="122">
        <f t="shared" si="4"/>
        <v>1194.6690000000001</v>
      </c>
      <c r="Q8" s="163">
        <v>1254.8399999999999</v>
      </c>
      <c r="R8" s="182">
        <v>1317.6</v>
      </c>
      <c r="S8" s="4">
        <f t="shared" si="4"/>
        <v>1383.48</v>
      </c>
      <c r="T8" s="4">
        <f t="shared" si="4"/>
        <v>1452.654</v>
      </c>
      <c r="U8" s="4">
        <f t="shared" si="4"/>
        <v>1525.2867000000001</v>
      </c>
      <c r="V8" s="4">
        <f t="shared" si="4"/>
        <v>1601.5510350000002</v>
      </c>
      <c r="W8" s="4">
        <f t="shared" si="4"/>
        <v>1681.6285867500003</v>
      </c>
      <c r="X8" s="4">
        <f t="shared" si="4"/>
        <v>1765.7100160875004</v>
      </c>
      <c r="Y8" s="4">
        <f t="shared" si="4"/>
        <v>1853.9955168918755</v>
      </c>
      <c r="Z8" s="4">
        <f t="shared" si="4"/>
        <v>1946.6952927364694</v>
      </c>
      <c r="AA8" s="4">
        <f t="shared" si="4"/>
        <v>2015.4982215571863</v>
      </c>
      <c r="AB8" s="4">
        <f t="shared" si="4"/>
        <v>2065.8856770961161</v>
      </c>
      <c r="AC8" s="4">
        <f t="shared" si="4"/>
        <v>2117.5328190235191</v>
      </c>
      <c r="AD8" s="4">
        <f t="shared" si="4"/>
        <v>2170.4711394991068</v>
      </c>
      <c r="AE8" s="4">
        <f t="shared" si="4"/>
        <v>2224.7329179865842</v>
      </c>
      <c r="AF8" s="4">
        <f t="shared" si="4"/>
        <v>2280.3512409362484</v>
      </c>
      <c r="AG8" s="4">
        <f t="shared" si="4"/>
        <v>2337.3600219596547</v>
      </c>
      <c r="AH8" s="4">
        <f t="shared" si="4"/>
        <v>2395.7940225086459</v>
      </c>
    </row>
    <row r="9" spans="1:34" x14ac:dyDescent="0.25">
      <c r="A9" t="s">
        <v>4</v>
      </c>
      <c r="E9" s="44"/>
      <c r="F9" s="51"/>
      <c r="G9" s="44"/>
      <c r="H9" s="44"/>
      <c r="I9" s="44"/>
      <c r="J9" s="51"/>
      <c r="K9" s="51"/>
      <c r="L9" s="51">
        <v>2.5000000000000001E-2</v>
      </c>
      <c r="M9" s="51">
        <f t="shared" ref="M9:AH9" si="5">+L9</f>
        <v>2.5000000000000001E-2</v>
      </c>
      <c r="N9" s="51">
        <f t="shared" si="5"/>
        <v>2.5000000000000001E-2</v>
      </c>
      <c r="O9" s="51">
        <f t="shared" si="5"/>
        <v>2.5000000000000001E-2</v>
      </c>
      <c r="P9" s="51">
        <v>0.06</v>
      </c>
      <c r="Q9" s="97">
        <v>0.05</v>
      </c>
      <c r="R9" s="47">
        <v>0.03</v>
      </c>
      <c r="S9" s="17">
        <f t="shared" si="5"/>
        <v>0.03</v>
      </c>
      <c r="T9" s="17">
        <f t="shared" si="5"/>
        <v>0.03</v>
      </c>
      <c r="U9" s="17">
        <f t="shared" si="5"/>
        <v>0.03</v>
      </c>
      <c r="V9" s="17">
        <f t="shared" si="5"/>
        <v>0.03</v>
      </c>
      <c r="W9" s="17">
        <f t="shared" si="5"/>
        <v>0.03</v>
      </c>
      <c r="X9" s="17">
        <f t="shared" si="5"/>
        <v>0.03</v>
      </c>
      <c r="Y9" s="17">
        <f t="shared" si="5"/>
        <v>0.03</v>
      </c>
      <c r="Z9" s="17">
        <f t="shared" si="5"/>
        <v>0.03</v>
      </c>
      <c r="AA9" s="17">
        <f t="shared" si="5"/>
        <v>0.03</v>
      </c>
      <c r="AB9" s="17">
        <f t="shared" si="5"/>
        <v>0.03</v>
      </c>
      <c r="AC9" s="17">
        <f t="shared" si="5"/>
        <v>0.03</v>
      </c>
      <c r="AD9" s="17">
        <f t="shared" si="5"/>
        <v>0.03</v>
      </c>
      <c r="AE9" s="17">
        <f t="shared" si="5"/>
        <v>0.03</v>
      </c>
      <c r="AF9" s="17">
        <f t="shared" si="5"/>
        <v>0.03</v>
      </c>
      <c r="AG9" s="17">
        <f t="shared" si="5"/>
        <v>0.03</v>
      </c>
      <c r="AH9" s="17">
        <f t="shared" si="5"/>
        <v>0.03</v>
      </c>
    </row>
    <row r="10" spans="1:34" s="192" customFormat="1" x14ac:dyDescent="0.25">
      <c r="A10" s="192" t="s">
        <v>24</v>
      </c>
      <c r="E10" s="193"/>
      <c r="F10" s="193"/>
      <c r="G10" s="193"/>
      <c r="H10" s="193"/>
      <c r="I10" s="193"/>
      <c r="J10" s="193"/>
      <c r="K10" s="193"/>
      <c r="L10" s="193">
        <v>0</v>
      </c>
      <c r="M10" s="193">
        <v>0</v>
      </c>
      <c r="N10" s="193">
        <v>0</v>
      </c>
      <c r="O10" s="193">
        <v>0</v>
      </c>
      <c r="P10" s="193">
        <v>0</v>
      </c>
      <c r="Q10" s="194">
        <v>0</v>
      </c>
      <c r="R10" s="195">
        <v>0</v>
      </c>
      <c r="S10" s="196">
        <v>0</v>
      </c>
      <c r="T10" s="196">
        <v>0</v>
      </c>
      <c r="U10" s="196">
        <v>0</v>
      </c>
      <c r="V10" s="196">
        <v>0</v>
      </c>
      <c r="W10" s="196">
        <v>0</v>
      </c>
      <c r="X10" s="196">
        <v>0</v>
      </c>
      <c r="Y10" s="196">
        <v>0</v>
      </c>
      <c r="Z10" s="196">
        <v>0</v>
      </c>
      <c r="AA10" s="196">
        <v>0</v>
      </c>
      <c r="AB10" s="196">
        <v>0</v>
      </c>
      <c r="AC10" s="196">
        <v>0</v>
      </c>
      <c r="AD10" s="196">
        <v>0</v>
      </c>
      <c r="AE10" s="196">
        <v>0</v>
      </c>
      <c r="AF10" s="196">
        <v>0</v>
      </c>
      <c r="AG10" s="196">
        <v>0</v>
      </c>
      <c r="AH10" s="196">
        <v>0</v>
      </c>
    </row>
    <row r="11" spans="1:34" x14ac:dyDescent="0.25">
      <c r="A11" t="s">
        <v>25</v>
      </c>
      <c r="D11" s="18">
        <v>4.2500000000000003E-2</v>
      </c>
      <c r="E11" s="46">
        <v>4.2500000000000003E-2</v>
      </c>
      <c r="F11" s="46">
        <v>4.2500000000000003E-2</v>
      </c>
      <c r="G11" s="46">
        <v>3.2500000000000001E-2</v>
      </c>
      <c r="H11" s="46">
        <v>3.2500000000000001E-2</v>
      </c>
      <c r="I11" s="46">
        <v>3.2500000000000001E-2</v>
      </c>
      <c r="J11" s="46">
        <v>3.2500000000000001E-2</v>
      </c>
      <c r="K11" s="46">
        <v>3.2500000000000001E-2</v>
      </c>
      <c r="L11" s="46">
        <v>3.2500000000000001E-2</v>
      </c>
      <c r="M11" s="46">
        <v>3.2500000000000001E-2</v>
      </c>
      <c r="N11" s="46">
        <v>3.2500000000000001E-2</v>
      </c>
      <c r="O11" s="46">
        <v>3.2500000000000001E-2</v>
      </c>
      <c r="P11" s="46">
        <v>3.2500000000000001E-2</v>
      </c>
      <c r="Q11" s="190">
        <v>3.2500000000000001E-2</v>
      </c>
      <c r="R11" s="191">
        <v>3.2500000000000001E-2</v>
      </c>
      <c r="S11" s="18">
        <v>3.2500000000000001E-2</v>
      </c>
      <c r="T11" s="18">
        <v>3.2500000000000001E-2</v>
      </c>
      <c r="U11" s="18">
        <v>3.2500000000000001E-2</v>
      </c>
      <c r="V11" s="18">
        <v>3.2500000000000001E-2</v>
      </c>
      <c r="W11" s="18">
        <v>3.2500000000000001E-2</v>
      </c>
      <c r="X11" s="18">
        <v>3.2500000000000001E-2</v>
      </c>
      <c r="Y11" s="18">
        <v>3.2500000000000001E-2</v>
      </c>
      <c r="Z11" s="18">
        <v>3.2500000000000001E-2</v>
      </c>
      <c r="AA11" s="18">
        <v>3.2500000000000001E-2</v>
      </c>
      <c r="AB11" s="18">
        <v>3.2500000000000001E-2</v>
      </c>
      <c r="AC11" s="18">
        <v>3.2500000000000001E-2</v>
      </c>
      <c r="AD11" s="18">
        <v>3.2500000000000001E-2</v>
      </c>
      <c r="AE11" s="18">
        <v>3.2500000000000001E-2</v>
      </c>
      <c r="AF11" s="18">
        <v>3.2500000000000001E-2</v>
      </c>
      <c r="AG11" s="18">
        <v>3.2500000000000001E-2</v>
      </c>
      <c r="AH11" s="18">
        <v>3.2500000000000001E-2</v>
      </c>
    </row>
    <row r="12" spans="1:34" x14ac:dyDescent="0.25">
      <c r="Q12" s="144"/>
      <c r="R12" s="149"/>
    </row>
    <row r="13" spans="1:34" x14ac:dyDescent="0.25">
      <c r="A13" s="7" t="s">
        <v>41</v>
      </c>
      <c r="I13" s="58"/>
      <c r="K13" s="58"/>
      <c r="L13" s="58"/>
      <c r="M13" s="58"/>
      <c r="Q13" s="144"/>
      <c r="R13" s="149"/>
    </row>
    <row r="14" spans="1:34" x14ac:dyDescent="0.25">
      <c r="A14" t="s">
        <v>2</v>
      </c>
      <c r="C14" s="3">
        <v>214</v>
      </c>
      <c r="D14" s="3">
        <v>267</v>
      </c>
      <c r="E14" s="3">
        <v>297</v>
      </c>
      <c r="F14" s="34">
        <v>348</v>
      </c>
      <c r="G14" s="34">
        <v>398</v>
      </c>
      <c r="H14" s="34">
        <v>447</v>
      </c>
      <c r="I14" s="3">
        <v>506</v>
      </c>
      <c r="J14" s="43">
        <v>562</v>
      </c>
      <c r="K14" s="43">
        <v>606</v>
      </c>
      <c r="L14" s="43">
        <v>680</v>
      </c>
      <c r="M14" s="43">
        <v>771.11131</v>
      </c>
      <c r="N14" s="43">
        <v>861.67862000000002</v>
      </c>
      <c r="O14" s="157">
        <v>973.96275000000003</v>
      </c>
      <c r="P14" s="157">
        <v>1103.1602600000001</v>
      </c>
      <c r="Q14" s="168">
        <v>1209.16786</v>
      </c>
      <c r="R14" s="182">
        <f>+(R5+Q5)/2*R8/1000</f>
        <v>1303.7652</v>
      </c>
      <c r="S14" s="4">
        <f t="shared" ref="S14:AH14" si="6">+(S5+R5)/2*S8/1000</f>
        <v>1412.5330800000002</v>
      </c>
      <c r="T14" s="4">
        <f t="shared" si="6"/>
        <v>1544.171202</v>
      </c>
      <c r="U14" s="4">
        <f t="shared" si="6"/>
        <v>1685.4418035000001</v>
      </c>
      <c r="V14" s="4">
        <f t="shared" si="6"/>
        <v>1836.9790371450001</v>
      </c>
      <c r="W14" s="4">
        <f t="shared" si="6"/>
        <v>1999.4563896457505</v>
      </c>
      <c r="X14" s="4">
        <f t="shared" si="6"/>
        <v>2173.5890298037129</v>
      </c>
      <c r="Y14" s="4">
        <f t="shared" si="6"/>
        <v>2360.1362930033574</v>
      </c>
      <c r="Z14" s="4">
        <f t="shared" si="6"/>
        <v>2559.9043099484575</v>
      </c>
      <c r="AA14" s="4">
        <f t="shared" si="6"/>
        <v>2735.0310866531017</v>
      </c>
      <c r="AB14" s="4">
        <f t="shared" si="6"/>
        <v>2873.6469768406973</v>
      </c>
      <c r="AC14" s="4">
        <f t="shared" si="6"/>
        <v>2973.0160779090206</v>
      </c>
      <c r="AD14" s="4">
        <f t="shared" si="6"/>
        <v>3047.341479856746</v>
      </c>
      <c r="AE14" s="4">
        <f t="shared" si="6"/>
        <v>3123.5250168531643</v>
      </c>
      <c r="AF14" s="4">
        <f t="shared" si="6"/>
        <v>3201.6131422744929</v>
      </c>
      <c r="AG14" s="4">
        <f t="shared" si="6"/>
        <v>3281.6534708313552</v>
      </c>
      <c r="AH14" s="4">
        <f t="shared" si="6"/>
        <v>3363.6948076021386</v>
      </c>
    </row>
    <row r="15" spans="1:34" x14ac:dyDescent="0.25">
      <c r="A15" t="s">
        <v>5</v>
      </c>
      <c r="C15" s="3">
        <v>5</v>
      </c>
      <c r="D15" s="3">
        <v>5</v>
      </c>
      <c r="E15" s="3">
        <v>5</v>
      </c>
      <c r="F15" s="34">
        <v>5</v>
      </c>
      <c r="G15" s="34">
        <v>5</v>
      </c>
      <c r="H15" s="34">
        <v>5</v>
      </c>
      <c r="I15" s="3">
        <v>5</v>
      </c>
      <c r="J15" s="43">
        <v>6</v>
      </c>
      <c r="K15" s="43">
        <v>0</v>
      </c>
      <c r="L15" s="43">
        <f t="shared" ref="L15:AA16" si="7">+K15*(1+L$9)</f>
        <v>0</v>
      </c>
      <c r="M15" s="43">
        <f t="shared" si="7"/>
        <v>0</v>
      </c>
      <c r="N15" s="43">
        <f t="shared" si="7"/>
        <v>0</v>
      </c>
      <c r="O15" s="152">
        <f t="shared" si="7"/>
        <v>0</v>
      </c>
      <c r="P15" s="152">
        <f t="shared" si="7"/>
        <v>0</v>
      </c>
      <c r="Q15" s="168">
        <f t="shared" si="7"/>
        <v>0</v>
      </c>
      <c r="R15" s="182">
        <f t="shared" si="7"/>
        <v>0</v>
      </c>
      <c r="S15" s="4">
        <f t="shared" si="7"/>
        <v>0</v>
      </c>
      <c r="T15" s="4">
        <f t="shared" si="7"/>
        <v>0</v>
      </c>
      <c r="U15" s="4">
        <f t="shared" si="7"/>
        <v>0</v>
      </c>
      <c r="V15" s="4">
        <f t="shared" si="7"/>
        <v>0</v>
      </c>
      <c r="W15" s="4">
        <f t="shared" si="7"/>
        <v>0</v>
      </c>
      <c r="X15" s="4">
        <f t="shared" si="7"/>
        <v>0</v>
      </c>
      <c r="Y15" s="4">
        <f t="shared" si="7"/>
        <v>0</v>
      </c>
      <c r="Z15" s="4">
        <f t="shared" si="7"/>
        <v>0</v>
      </c>
      <c r="AA15" s="4">
        <f t="shared" si="7"/>
        <v>0</v>
      </c>
      <c r="AB15" s="4">
        <f t="shared" ref="AB15:AH16" si="8">+AA15*(1+AB$9)</f>
        <v>0</v>
      </c>
      <c r="AC15" s="4">
        <f t="shared" si="8"/>
        <v>0</v>
      </c>
      <c r="AD15" s="4">
        <f t="shared" si="8"/>
        <v>0</v>
      </c>
      <c r="AE15" s="4">
        <f t="shared" si="8"/>
        <v>0</v>
      </c>
      <c r="AF15" s="4">
        <f t="shared" si="8"/>
        <v>0</v>
      </c>
      <c r="AG15" s="4">
        <f t="shared" si="8"/>
        <v>0</v>
      </c>
      <c r="AH15" s="4">
        <f t="shared" si="8"/>
        <v>0</v>
      </c>
    </row>
    <row r="16" spans="1:34" x14ac:dyDescent="0.25">
      <c r="A16" t="s">
        <v>39</v>
      </c>
      <c r="C16" s="3">
        <v>4</v>
      </c>
      <c r="D16" s="3">
        <v>3</v>
      </c>
      <c r="E16" s="3">
        <v>20</v>
      </c>
      <c r="F16" s="34">
        <v>5</v>
      </c>
      <c r="G16" s="34">
        <v>5</v>
      </c>
      <c r="H16" s="34">
        <v>5</v>
      </c>
      <c r="I16" s="3">
        <v>13</v>
      </c>
      <c r="J16" s="43">
        <v>23</v>
      </c>
      <c r="K16" s="43">
        <v>30</v>
      </c>
      <c r="L16" s="43">
        <v>49</v>
      </c>
      <c r="M16" s="43">
        <v>23.773009999999999</v>
      </c>
      <c r="N16" s="43">
        <v>27.802</v>
      </c>
      <c r="O16" s="157">
        <f>0.42384+24.70509-0.62566+0.32</f>
        <v>24.823269999999997</v>
      </c>
      <c r="P16" s="157">
        <v>34.783790000000003</v>
      </c>
      <c r="Q16" s="168">
        <v>25.322900000000001</v>
      </c>
      <c r="R16" s="182">
        <v>21</v>
      </c>
      <c r="S16" s="4">
        <f t="shared" si="7"/>
        <v>21.63</v>
      </c>
      <c r="T16" s="4">
        <f t="shared" si="7"/>
        <v>22.2789</v>
      </c>
      <c r="U16" s="4">
        <f t="shared" si="7"/>
        <v>22.947267</v>
      </c>
      <c r="V16" s="4">
        <f t="shared" si="7"/>
        <v>23.63568501</v>
      </c>
      <c r="W16" s="4">
        <f t="shared" si="7"/>
        <v>24.344755560300001</v>
      </c>
      <c r="X16" s="4">
        <f t="shared" si="7"/>
        <v>25.075098227109002</v>
      </c>
      <c r="Y16" s="4">
        <f t="shared" si="7"/>
        <v>25.827351173922274</v>
      </c>
      <c r="Z16" s="4">
        <f t="shared" si="7"/>
        <v>26.602171709139942</v>
      </c>
      <c r="AA16" s="4">
        <f t="shared" si="7"/>
        <v>27.40023686041414</v>
      </c>
      <c r="AB16" s="4">
        <f t="shared" si="8"/>
        <v>28.222243966226564</v>
      </c>
      <c r="AC16" s="4">
        <f t="shared" si="8"/>
        <v>29.06891128521336</v>
      </c>
      <c r="AD16" s="4">
        <f t="shared" si="8"/>
        <v>29.940978623769762</v>
      </c>
      <c r="AE16" s="4">
        <f t="shared" si="8"/>
        <v>30.839207982482858</v>
      </c>
      <c r="AF16" s="4">
        <f t="shared" si="8"/>
        <v>31.764384221957343</v>
      </c>
      <c r="AG16" s="4">
        <f t="shared" si="8"/>
        <v>32.717315748616066</v>
      </c>
      <c r="AH16" s="4">
        <f t="shared" si="8"/>
        <v>33.698835221074546</v>
      </c>
    </row>
    <row r="17" spans="1:34" x14ac:dyDescent="0.25">
      <c r="A17" t="s">
        <v>6</v>
      </c>
      <c r="C17" s="34">
        <v>0</v>
      </c>
      <c r="D17" s="34">
        <v>0</v>
      </c>
      <c r="E17" s="34">
        <v>0</v>
      </c>
      <c r="F17" s="34">
        <v>0</v>
      </c>
      <c r="G17" s="34">
        <v>0</v>
      </c>
      <c r="H17" s="95">
        <v>0</v>
      </c>
      <c r="I17" s="3">
        <v>0</v>
      </c>
      <c r="J17" s="43">
        <v>0</v>
      </c>
      <c r="K17" s="43">
        <v>0</v>
      </c>
      <c r="L17" s="43">
        <v>0</v>
      </c>
      <c r="M17" s="43">
        <v>0</v>
      </c>
      <c r="N17" s="43">
        <v>0</v>
      </c>
      <c r="O17" s="157">
        <f>-14.3341-1.15264</f>
        <v>-15.486739999999999</v>
      </c>
      <c r="P17" s="157">
        <v>0</v>
      </c>
      <c r="Q17" s="142">
        <v>0</v>
      </c>
      <c r="R17" s="188"/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4">
        <v>0</v>
      </c>
      <c r="AA17" s="4">
        <v>0</v>
      </c>
      <c r="AB17" s="4">
        <v>0</v>
      </c>
      <c r="AC17" s="4">
        <v>0</v>
      </c>
      <c r="AD17" s="4">
        <v>0</v>
      </c>
      <c r="AE17" s="4">
        <v>0</v>
      </c>
      <c r="AF17" s="4">
        <v>0</v>
      </c>
      <c r="AG17" s="4">
        <v>0</v>
      </c>
      <c r="AH17" s="4">
        <v>0</v>
      </c>
    </row>
    <row r="18" spans="1:34" x14ac:dyDescent="0.25">
      <c r="A18" t="s">
        <v>12</v>
      </c>
      <c r="C18" s="3">
        <f>940-77-359</f>
        <v>504</v>
      </c>
      <c r="D18" s="3">
        <v>580</v>
      </c>
      <c r="E18" s="3">
        <v>672</v>
      </c>
      <c r="F18" s="52">
        <v>696</v>
      </c>
      <c r="G18" s="52">
        <v>717</v>
      </c>
      <c r="H18" s="8">
        <v>669</v>
      </c>
      <c r="I18" s="10">
        <v>592</v>
      </c>
      <c r="J18" s="10">
        <v>573</v>
      </c>
      <c r="K18" s="10">
        <v>544</v>
      </c>
      <c r="L18" s="10">
        <v>583</v>
      </c>
      <c r="M18" s="10">
        <v>645.65287999999953</v>
      </c>
      <c r="N18" s="10">
        <v>721.51774699999999</v>
      </c>
      <c r="O18" s="10">
        <v>962.26874999999995</v>
      </c>
      <c r="P18" s="10">
        <v>1108.4684999999999</v>
      </c>
      <c r="Q18" s="169">
        <v>1368.50107</v>
      </c>
      <c r="R18" s="199">
        <v>1412.87438</v>
      </c>
      <c r="S18" s="10">
        <f t="shared" ref="S18:AH18" si="9">R18*(1+S9)</f>
        <v>1455.2606114</v>
      </c>
      <c r="T18" s="10">
        <f t="shared" si="9"/>
        <v>1498.9184297419999</v>
      </c>
      <c r="U18" s="10">
        <f t="shared" si="9"/>
        <v>1543.88598263426</v>
      </c>
      <c r="V18" s="10">
        <f t="shared" si="9"/>
        <v>1590.202562113288</v>
      </c>
      <c r="W18" s="10">
        <f t="shared" si="9"/>
        <v>1637.9086389766867</v>
      </c>
      <c r="X18" s="10">
        <f t="shared" si="9"/>
        <v>1687.0458981459874</v>
      </c>
      <c r="Y18" s="10">
        <f t="shared" si="9"/>
        <v>1737.657275090367</v>
      </c>
      <c r="Z18" s="10">
        <f t="shared" si="9"/>
        <v>1789.7869933430779</v>
      </c>
      <c r="AA18" s="10">
        <f t="shared" si="9"/>
        <v>1843.4806031433702</v>
      </c>
      <c r="AB18" s="10">
        <f t="shared" si="9"/>
        <v>1898.7850212376713</v>
      </c>
      <c r="AC18" s="10">
        <f t="shared" si="9"/>
        <v>1955.7485718748014</v>
      </c>
      <c r="AD18" s="10">
        <f t="shared" si="9"/>
        <v>2014.4210290310455</v>
      </c>
      <c r="AE18" s="10">
        <f t="shared" si="9"/>
        <v>2074.8536599019767</v>
      </c>
      <c r="AF18" s="10">
        <f t="shared" si="9"/>
        <v>2137.0992696990361</v>
      </c>
      <c r="AG18" s="10">
        <f t="shared" si="9"/>
        <v>2201.212247790007</v>
      </c>
      <c r="AH18" s="10">
        <f t="shared" si="9"/>
        <v>2267.2486152237075</v>
      </c>
    </row>
    <row r="19" spans="1:34" x14ac:dyDescent="0.25">
      <c r="A19" t="s">
        <v>10</v>
      </c>
      <c r="C19" s="8">
        <v>22</v>
      </c>
      <c r="D19" s="8">
        <v>14</v>
      </c>
      <c r="E19" s="8">
        <v>31</v>
      </c>
      <c r="F19" s="8">
        <v>15</v>
      </c>
      <c r="G19" s="8">
        <v>18</v>
      </c>
      <c r="H19" s="8">
        <v>10</v>
      </c>
      <c r="I19" s="8">
        <v>30</v>
      </c>
      <c r="J19" s="8">
        <v>38</v>
      </c>
      <c r="K19" s="100">
        <v>31</v>
      </c>
      <c r="L19" s="100">
        <v>40</v>
      </c>
      <c r="M19" s="100">
        <v>57.382570000000122</v>
      </c>
      <c r="N19" s="100">
        <v>-2.6967100000000208</v>
      </c>
      <c r="O19" s="158">
        <v>-7.7837800000000001</v>
      </c>
      <c r="P19" s="158">
        <v>16.64461</v>
      </c>
      <c r="Q19" s="170">
        <v>13.98166</v>
      </c>
      <c r="R19" s="187">
        <v>11.97777</v>
      </c>
      <c r="S19" s="9">
        <f t="shared" ref="S19:AH19" si="10">+R19*(1+S$9)</f>
        <v>12.3371031</v>
      </c>
      <c r="T19" s="9">
        <f t="shared" si="10"/>
        <v>12.707216193000001</v>
      </c>
      <c r="U19" s="9">
        <f t="shared" si="10"/>
        <v>13.088432678790001</v>
      </c>
      <c r="V19" s="9">
        <f t="shared" si="10"/>
        <v>13.481085659153701</v>
      </c>
      <c r="W19" s="9">
        <f t="shared" si="10"/>
        <v>13.885518228928312</v>
      </c>
      <c r="X19" s="9">
        <f t="shared" si="10"/>
        <v>14.302083775796161</v>
      </c>
      <c r="Y19" s="9">
        <f t="shared" si="10"/>
        <v>14.731146289070047</v>
      </c>
      <c r="Z19" s="9">
        <f t="shared" si="10"/>
        <v>15.173080677742149</v>
      </c>
      <c r="AA19" s="9">
        <f t="shared" si="10"/>
        <v>15.628273098074414</v>
      </c>
      <c r="AB19" s="9">
        <f t="shared" si="10"/>
        <v>16.097121291016649</v>
      </c>
      <c r="AC19" s="9">
        <f t="shared" si="10"/>
        <v>16.58003492974715</v>
      </c>
      <c r="AD19" s="9">
        <f t="shared" si="10"/>
        <v>17.077435977639563</v>
      </c>
      <c r="AE19" s="9">
        <f t="shared" si="10"/>
        <v>17.589759056968752</v>
      </c>
      <c r="AF19" s="9">
        <f t="shared" si="10"/>
        <v>18.117451828677815</v>
      </c>
      <c r="AG19" s="9">
        <f t="shared" si="10"/>
        <v>18.660975383538151</v>
      </c>
      <c r="AH19" s="9">
        <f t="shared" si="10"/>
        <v>19.220804645044296</v>
      </c>
    </row>
    <row r="20" spans="1:34" x14ac:dyDescent="0.25">
      <c r="A20" s="6" t="s">
        <v>43</v>
      </c>
      <c r="C20" s="13">
        <f>SUM(C14:C18)</f>
        <v>727</v>
      </c>
      <c r="D20" s="35">
        <f t="shared" ref="D20:AH20" si="11">SUM(D14:D18)</f>
        <v>855</v>
      </c>
      <c r="E20" s="35">
        <f t="shared" si="11"/>
        <v>994</v>
      </c>
      <c r="F20" s="35">
        <f t="shared" si="11"/>
        <v>1054</v>
      </c>
      <c r="G20" s="35">
        <f t="shared" si="11"/>
        <v>1125</v>
      </c>
      <c r="H20" s="35">
        <f t="shared" si="11"/>
        <v>1126</v>
      </c>
      <c r="I20" s="35">
        <f t="shared" si="11"/>
        <v>1116</v>
      </c>
      <c r="J20" s="35">
        <f t="shared" si="11"/>
        <v>1164</v>
      </c>
      <c r="K20" s="35">
        <f t="shared" ref="K20:M20" si="12">SUM(K14:K19)</f>
        <v>1211</v>
      </c>
      <c r="L20" s="35">
        <f t="shared" si="12"/>
        <v>1352</v>
      </c>
      <c r="M20" s="35">
        <f t="shared" si="12"/>
        <v>1497.9197699999997</v>
      </c>
      <c r="N20" s="35">
        <f>SUM(N14:N19)</f>
        <v>1608.3016570000002</v>
      </c>
      <c r="O20" s="35">
        <f>SUM(O14:O19)</f>
        <v>1937.7842499999999</v>
      </c>
      <c r="P20" s="35">
        <f t="shared" si="11"/>
        <v>2246.41255</v>
      </c>
      <c r="Q20" s="171">
        <f t="shared" si="11"/>
        <v>2602.9918299999999</v>
      </c>
      <c r="R20" s="200">
        <f t="shared" si="11"/>
        <v>2737.63958</v>
      </c>
      <c r="S20" s="13">
        <f t="shared" si="11"/>
        <v>2889.4236914000003</v>
      </c>
      <c r="T20" s="13">
        <f t="shared" si="11"/>
        <v>3065.368531742</v>
      </c>
      <c r="U20" s="13">
        <f t="shared" si="11"/>
        <v>3252.2750531342599</v>
      </c>
      <c r="V20" s="13">
        <f t="shared" si="11"/>
        <v>3450.8172842682879</v>
      </c>
      <c r="W20" s="13">
        <f t="shared" si="11"/>
        <v>3661.7097841827372</v>
      </c>
      <c r="X20" s="13">
        <f t="shared" si="11"/>
        <v>3885.7100261768092</v>
      </c>
      <c r="Y20" s="13">
        <f t="shared" si="11"/>
        <v>4123.620919267647</v>
      </c>
      <c r="Z20" s="13">
        <f t="shared" si="11"/>
        <v>4376.2934750006752</v>
      </c>
      <c r="AA20" s="13">
        <f t="shared" si="11"/>
        <v>4605.911926656886</v>
      </c>
      <c r="AB20" s="13">
        <f t="shared" si="11"/>
        <v>4800.6542420445949</v>
      </c>
      <c r="AC20" s="13">
        <f t="shared" si="11"/>
        <v>4957.8335610690356</v>
      </c>
      <c r="AD20" s="13">
        <f t="shared" si="11"/>
        <v>5091.7034875115614</v>
      </c>
      <c r="AE20" s="13">
        <f t="shared" si="11"/>
        <v>5229.2178847376235</v>
      </c>
      <c r="AF20" s="13">
        <f t="shared" si="11"/>
        <v>5370.4767961954858</v>
      </c>
      <c r="AG20" s="13">
        <f t="shared" si="11"/>
        <v>5515.5830343699781</v>
      </c>
      <c r="AH20" s="13">
        <f t="shared" si="11"/>
        <v>5664.6422580469207</v>
      </c>
    </row>
    <row r="21" spans="1:34" x14ac:dyDescent="0.25">
      <c r="A21" s="56" t="s">
        <v>53</v>
      </c>
      <c r="D21" s="55">
        <f>+D20/C20-1</f>
        <v>0.17606602475928468</v>
      </c>
      <c r="E21" s="55">
        <f t="shared" ref="E21:AH21" si="13">+E20/D20-1</f>
        <v>0.16257309941520459</v>
      </c>
      <c r="F21" s="55">
        <f t="shared" si="13"/>
        <v>6.0362173038229328E-2</v>
      </c>
      <c r="G21" s="55">
        <f t="shared" si="13"/>
        <v>6.7362428842504762E-2</v>
      </c>
      <c r="H21" s="55">
        <f t="shared" si="13"/>
        <v>8.8888888888893902E-4</v>
      </c>
      <c r="I21" s="55">
        <f t="shared" si="13"/>
        <v>-8.8809946714032417E-3</v>
      </c>
      <c r="J21" s="55">
        <f t="shared" si="13"/>
        <v>4.3010752688172005E-2</v>
      </c>
      <c r="K21" s="55">
        <f t="shared" si="13"/>
        <v>4.0378006872852312E-2</v>
      </c>
      <c r="L21" s="55">
        <f t="shared" si="13"/>
        <v>0.11643270024772923</v>
      </c>
      <c r="M21" s="55">
        <f t="shared" si="13"/>
        <v>0.10792882396449688</v>
      </c>
      <c r="N21" s="55">
        <f t="shared" si="13"/>
        <v>7.3690119598328385E-2</v>
      </c>
      <c r="O21" s="55">
        <f t="shared" si="13"/>
        <v>0.20486367813273954</v>
      </c>
      <c r="P21" s="55">
        <f t="shared" si="13"/>
        <v>0.15926865955278569</v>
      </c>
      <c r="Q21" s="172">
        <f>+Q20/P20-1</f>
        <v>0.15873276705118111</v>
      </c>
      <c r="R21" s="197">
        <f t="shared" si="13"/>
        <v>5.1728072461910246E-2</v>
      </c>
      <c r="S21" s="55">
        <f t="shared" si="13"/>
        <v>5.5443423783345658E-2</v>
      </c>
      <c r="T21" s="55">
        <f t="shared" si="13"/>
        <v>6.089271049644851E-2</v>
      </c>
      <c r="U21" s="55">
        <f t="shared" si="13"/>
        <v>6.0973589131889439E-2</v>
      </c>
      <c r="V21" s="55">
        <f t="shared" si="13"/>
        <v>6.104718324567604E-2</v>
      </c>
      <c r="W21" s="55">
        <f t="shared" si="13"/>
        <v>6.111378335673523E-2</v>
      </c>
      <c r="X21" s="55">
        <f t="shared" si="13"/>
        <v>6.1173674375198273E-2</v>
      </c>
      <c r="Y21" s="55">
        <f t="shared" si="13"/>
        <v>6.1227135192309046E-2</v>
      </c>
      <c r="Z21" s="55">
        <f t="shared" si="13"/>
        <v>6.1274438334623316E-2</v>
      </c>
      <c r="AA21" s="55">
        <f t="shared" si="13"/>
        <v>5.2468705073801081E-2</v>
      </c>
      <c r="AB21" s="55">
        <f t="shared" si="13"/>
        <v>4.228094642032354E-2</v>
      </c>
      <c r="AC21" s="55">
        <f t="shared" si="13"/>
        <v>3.2741228819990642E-2</v>
      </c>
      <c r="AD21" s="55">
        <f t="shared" si="13"/>
        <v>2.7001698381673878E-2</v>
      </c>
      <c r="AE21" s="55">
        <f t="shared" si="13"/>
        <v>2.7007542281938468E-2</v>
      </c>
      <c r="AF21" s="55">
        <f t="shared" si="13"/>
        <v>2.7013391786590235E-2</v>
      </c>
      <c r="AG21" s="55">
        <f t="shared" si="13"/>
        <v>2.7019246834338428E-2</v>
      </c>
      <c r="AH21" s="55">
        <f t="shared" si="13"/>
        <v>2.7025107363644052E-2</v>
      </c>
    </row>
    <row r="22" spans="1:34" x14ac:dyDescent="0.25">
      <c r="A22" s="7" t="s">
        <v>44</v>
      </c>
      <c r="O22" s="50"/>
      <c r="P22" s="50"/>
      <c r="Q22" s="144"/>
      <c r="R22" s="149"/>
      <c r="S22" s="134"/>
      <c r="T22" s="134"/>
    </row>
    <row r="23" spans="1:34" x14ac:dyDescent="0.25">
      <c r="A23" t="s">
        <v>40</v>
      </c>
      <c r="C23" s="8">
        <f>508-178+42</f>
        <v>372</v>
      </c>
      <c r="D23" s="8">
        <v>347</v>
      </c>
      <c r="E23" s="8">
        <f>563-229+46</f>
        <v>380</v>
      </c>
      <c r="F23" s="8">
        <f>589-252+43</f>
        <v>380</v>
      </c>
      <c r="G23" s="8">
        <f>45+565-207</f>
        <v>403</v>
      </c>
      <c r="H23" s="8">
        <f>598-221+48</f>
        <v>425</v>
      </c>
      <c r="I23" s="100">
        <f>440+51</f>
        <v>491</v>
      </c>
      <c r="J23" s="100">
        <f>405+49+4-19</f>
        <v>439</v>
      </c>
      <c r="K23" s="100">
        <f>341+38-2-22</f>
        <v>355</v>
      </c>
      <c r="L23" s="100">
        <f>380+71+3-28</f>
        <v>426</v>
      </c>
      <c r="M23" s="100">
        <v>459.32612999999975</v>
      </c>
      <c r="N23" s="100">
        <v>451.46163999999993</v>
      </c>
      <c r="O23" s="158">
        <f>779.60391-O28-314.57359+91.74474+O17</f>
        <v>499.05373000000003</v>
      </c>
      <c r="P23" s="158">
        <v>608.78737000000012</v>
      </c>
      <c r="Q23" s="170">
        <f>588.11932+135</f>
        <v>723.11932000000002</v>
      </c>
      <c r="R23" s="187">
        <v>698.12599999999998</v>
      </c>
      <c r="S23" s="9">
        <f t="shared" ref="S23:AG24" si="14">+R23*(1+S$9)</f>
        <v>719.06978000000004</v>
      </c>
      <c r="T23" s="9">
        <f t="shared" si="14"/>
        <v>740.64187340000001</v>
      </c>
      <c r="U23" s="9">
        <f t="shared" si="14"/>
        <v>762.86112960200001</v>
      </c>
      <c r="V23" s="9">
        <f t="shared" si="14"/>
        <v>785.74696349006001</v>
      </c>
      <c r="W23" s="9">
        <f t="shared" si="14"/>
        <v>809.31937239476179</v>
      </c>
      <c r="X23" s="9">
        <f t="shared" si="14"/>
        <v>833.59895356660468</v>
      </c>
      <c r="Y23" s="9">
        <f t="shared" si="14"/>
        <v>858.60692217360281</v>
      </c>
      <c r="Z23" s="9">
        <f t="shared" si="14"/>
        <v>884.36512983881096</v>
      </c>
      <c r="AA23" s="9">
        <f t="shared" si="14"/>
        <v>910.89608373397527</v>
      </c>
      <c r="AB23" s="9">
        <f t="shared" si="14"/>
        <v>938.2229662459946</v>
      </c>
      <c r="AC23" s="9">
        <f t="shared" si="14"/>
        <v>966.36965523337449</v>
      </c>
      <c r="AD23" s="9">
        <f t="shared" si="14"/>
        <v>995.36074489037571</v>
      </c>
      <c r="AE23" s="9">
        <f t="shared" si="14"/>
        <v>1025.2215672370869</v>
      </c>
      <c r="AF23" s="9">
        <f t="shared" si="14"/>
        <v>1055.9782142541994</v>
      </c>
      <c r="AG23" s="9">
        <f t="shared" si="14"/>
        <v>1087.6575606818255</v>
      </c>
      <c r="AH23" s="9">
        <f t="shared" ref="AD23:AH24" si="15">+AG23*(1+AH$9)</f>
        <v>1120.2872875022804</v>
      </c>
    </row>
    <row r="24" spans="1:34" x14ac:dyDescent="0.25">
      <c r="A24" t="s">
        <v>8</v>
      </c>
      <c r="C24" s="8">
        <v>772</v>
      </c>
      <c r="D24" s="8">
        <v>733</v>
      </c>
      <c r="E24" s="8">
        <v>698</v>
      </c>
      <c r="F24" s="8">
        <v>729</v>
      </c>
      <c r="G24" s="8">
        <v>748</v>
      </c>
      <c r="H24" s="8">
        <v>731</v>
      </c>
      <c r="I24" s="100">
        <v>723</v>
      </c>
      <c r="J24" s="100">
        <f>737-31</f>
        <v>706</v>
      </c>
      <c r="K24" s="100">
        <f>776-33</f>
        <v>743</v>
      </c>
      <c r="L24" s="100">
        <f>763-33</f>
        <v>730</v>
      </c>
      <c r="M24" s="100">
        <v>722.10502999999994</v>
      </c>
      <c r="N24" s="100">
        <v>632.94849999999997</v>
      </c>
      <c r="O24" s="158">
        <f>775.16508-36.53486-6.68757</f>
        <v>731.94264999999996</v>
      </c>
      <c r="P24" s="158">
        <f>906.62758-43.05812+0.25416</f>
        <v>863.82361999999989</v>
      </c>
      <c r="Q24" s="170">
        <v>918.89300000000003</v>
      </c>
      <c r="R24" s="187">
        <v>972.57120999999995</v>
      </c>
      <c r="S24" s="9">
        <f t="shared" si="14"/>
        <v>1001.7483463</v>
      </c>
      <c r="T24" s="9">
        <f t="shared" si="14"/>
        <v>1031.800796689</v>
      </c>
      <c r="U24" s="9">
        <f t="shared" si="14"/>
        <v>1062.7548205896701</v>
      </c>
      <c r="V24" s="9">
        <f t="shared" si="14"/>
        <v>1094.6374652073603</v>
      </c>
      <c r="W24" s="9">
        <f t="shared" si="14"/>
        <v>1127.4765891635811</v>
      </c>
      <c r="X24" s="9">
        <f t="shared" si="14"/>
        <v>1161.3008868384886</v>
      </c>
      <c r="Y24" s="9">
        <f t="shared" si="14"/>
        <v>1196.1399134436433</v>
      </c>
      <c r="Z24" s="9">
        <f t="shared" si="14"/>
        <v>1232.0241108469527</v>
      </c>
      <c r="AA24" s="9">
        <f t="shared" si="14"/>
        <v>1268.9848341723614</v>
      </c>
      <c r="AB24" s="9">
        <f t="shared" si="14"/>
        <v>1307.0543791975322</v>
      </c>
      <c r="AC24" s="9">
        <f t="shared" si="14"/>
        <v>1346.2660105734581</v>
      </c>
      <c r="AD24" s="9">
        <f t="shared" si="15"/>
        <v>1386.6539908906618</v>
      </c>
      <c r="AE24" s="9">
        <f t="shared" si="15"/>
        <v>1428.2536106173818</v>
      </c>
      <c r="AF24" s="9">
        <f t="shared" si="15"/>
        <v>1471.1012189359033</v>
      </c>
      <c r="AG24" s="9">
        <f t="shared" si="15"/>
        <v>1515.2342555039804</v>
      </c>
      <c r="AH24" s="9">
        <f t="shared" si="15"/>
        <v>1560.6912831691</v>
      </c>
    </row>
    <row r="25" spans="1:34" x14ac:dyDescent="0.25">
      <c r="A25" t="s">
        <v>30</v>
      </c>
      <c r="C25" s="8">
        <v>0</v>
      </c>
      <c r="D25" s="8">
        <v>0</v>
      </c>
      <c r="E25" s="8">
        <v>0</v>
      </c>
      <c r="F25" s="8">
        <v>0</v>
      </c>
      <c r="G25" s="8">
        <v>0</v>
      </c>
      <c r="H25" s="8">
        <v>0</v>
      </c>
      <c r="I25" s="100">
        <f t="shared" ref="I25:AH25" si="16">+H25*(1+I9)</f>
        <v>0</v>
      </c>
      <c r="J25" s="100">
        <f t="shared" si="16"/>
        <v>0</v>
      </c>
      <c r="K25" s="100">
        <f t="shared" si="16"/>
        <v>0</v>
      </c>
      <c r="L25" s="100">
        <f t="shared" si="16"/>
        <v>0</v>
      </c>
      <c r="M25" s="100">
        <f t="shared" si="16"/>
        <v>0</v>
      </c>
      <c r="N25" s="100">
        <f t="shared" si="16"/>
        <v>0</v>
      </c>
      <c r="O25" s="158">
        <f t="shared" si="16"/>
        <v>0</v>
      </c>
      <c r="P25" s="158">
        <f>+O25*(1+P9)</f>
        <v>0</v>
      </c>
      <c r="Q25" s="170">
        <f t="shared" si="16"/>
        <v>0</v>
      </c>
      <c r="R25" s="187">
        <f t="shared" si="16"/>
        <v>0</v>
      </c>
      <c r="S25" s="9">
        <f t="shared" si="16"/>
        <v>0</v>
      </c>
      <c r="T25" s="9">
        <f t="shared" si="16"/>
        <v>0</v>
      </c>
      <c r="U25" s="9">
        <f t="shared" si="16"/>
        <v>0</v>
      </c>
      <c r="V25" s="9">
        <f t="shared" si="16"/>
        <v>0</v>
      </c>
      <c r="W25" s="9">
        <f t="shared" si="16"/>
        <v>0</v>
      </c>
      <c r="X25" s="9">
        <f t="shared" si="16"/>
        <v>0</v>
      </c>
      <c r="Y25" s="9">
        <f t="shared" si="16"/>
        <v>0</v>
      </c>
      <c r="Z25" s="9">
        <f t="shared" si="16"/>
        <v>0</v>
      </c>
      <c r="AA25" s="9">
        <f t="shared" si="16"/>
        <v>0</v>
      </c>
      <c r="AB25" s="9">
        <f t="shared" si="16"/>
        <v>0</v>
      </c>
      <c r="AC25" s="9">
        <f t="shared" si="16"/>
        <v>0</v>
      </c>
      <c r="AD25" s="9">
        <f t="shared" si="16"/>
        <v>0</v>
      </c>
      <c r="AE25" s="9">
        <f t="shared" si="16"/>
        <v>0</v>
      </c>
      <c r="AF25" s="9">
        <f t="shared" si="16"/>
        <v>0</v>
      </c>
      <c r="AG25" s="9">
        <f t="shared" si="16"/>
        <v>0</v>
      </c>
      <c r="AH25" s="9">
        <f t="shared" si="16"/>
        <v>0</v>
      </c>
    </row>
    <row r="26" spans="1:34" x14ac:dyDescent="0.25">
      <c r="A26" t="s">
        <v>80</v>
      </c>
      <c r="C26" s="8">
        <f>116+42-47</f>
        <v>111</v>
      </c>
      <c r="D26" s="8">
        <v>81</v>
      </c>
      <c r="E26" s="8">
        <f>98+46-57</f>
        <v>87</v>
      </c>
      <c r="F26" s="8">
        <f>111-13</f>
        <v>98</v>
      </c>
      <c r="G26" s="8">
        <f>118-3</f>
        <v>115</v>
      </c>
      <c r="H26" s="8">
        <v>111</v>
      </c>
      <c r="I26" s="100">
        <v>105</v>
      </c>
      <c r="J26" s="100">
        <v>120</v>
      </c>
      <c r="K26" s="100">
        <v>152</v>
      </c>
      <c r="L26" s="100">
        <v>114</v>
      </c>
      <c r="M26" s="100">
        <v>144.54635000000002</v>
      </c>
      <c r="N26" s="100">
        <v>111.78326999999999</v>
      </c>
      <c r="O26" s="158">
        <f>171.99479-14.525</f>
        <v>157.46978999999999</v>
      </c>
      <c r="P26" s="158">
        <v>202.46761000000001</v>
      </c>
      <c r="Q26" s="170">
        <v>217.27</v>
      </c>
      <c r="R26" s="187">
        <v>221.28817000000001</v>
      </c>
      <c r="S26" s="9">
        <f t="shared" ref="S26:AG29" si="17">+R26*(1+S$9)</f>
        <v>227.92681510000003</v>
      </c>
      <c r="T26" s="9">
        <f t="shared" si="17"/>
        <v>234.76461955300005</v>
      </c>
      <c r="U26" s="9">
        <f t="shared" si="17"/>
        <v>241.80755813959004</v>
      </c>
      <c r="V26" s="9">
        <f t="shared" si="17"/>
        <v>249.06178488377776</v>
      </c>
      <c r="W26" s="9">
        <f t="shared" si="17"/>
        <v>256.53363843029109</v>
      </c>
      <c r="X26" s="9">
        <f t="shared" si="17"/>
        <v>264.22964758319984</v>
      </c>
      <c r="Y26" s="9">
        <f t="shared" si="17"/>
        <v>272.15653701069584</v>
      </c>
      <c r="Z26" s="9">
        <f t="shared" si="17"/>
        <v>280.32123312101675</v>
      </c>
      <c r="AA26" s="9">
        <f t="shared" si="17"/>
        <v>288.73087011464725</v>
      </c>
      <c r="AB26" s="9">
        <f t="shared" si="17"/>
        <v>297.39279621808669</v>
      </c>
      <c r="AC26" s="9">
        <f t="shared" si="17"/>
        <v>306.31458010462927</v>
      </c>
      <c r="AD26" s="9">
        <f t="shared" si="17"/>
        <v>315.50401750776814</v>
      </c>
      <c r="AE26" s="9">
        <f t="shared" si="17"/>
        <v>324.96913803300117</v>
      </c>
      <c r="AF26" s="9">
        <f t="shared" si="17"/>
        <v>334.71821217399122</v>
      </c>
      <c r="AG26" s="9">
        <f t="shared" si="17"/>
        <v>344.75975853921096</v>
      </c>
      <c r="AH26" s="9">
        <f t="shared" ref="AB26:AH29" si="18">+AG26*(1+AH$9)</f>
        <v>355.10255129538729</v>
      </c>
    </row>
    <row r="27" spans="1:34" x14ac:dyDescent="0.25">
      <c r="A27" t="s">
        <v>11</v>
      </c>
      <c r="C27" s="8">
        <f>15-9</f>
        <v>6</v>
      </c>
      <c r="D27" s="8">
        <v>4</v>
      </c>
      <c r="E27" s="8">
        <v>8</v>
      </c>
      <c r="F27" s="8">
        <v>8</v>
      </c>
      <c r="G27" s="8">
        <v>13</v>
      </c>
      <c r="H27" s="8">
        <v>11</v>
      </c>
      <c r="I27" s="100">
        <v>19</v>
      </c>
      <c r="J27" s="100">
        <v>13</v>
      </c>
      <c r="K27" s="100">
        <v>11</v>
      </c>
      <c r="L27" s="100">
        <v>15</v>
      </c>
      <c r="M27" s="100">
        <v>34.178429999999992</v>
      </c>
      <c r="N27" s="100">
        <v>32.128859999999996</v>
      </c>
      <c r="O27" s="158">
        <v>30.137989999999999</v>
      </c>
      <c r="P27" s="158">
        <v>65.895150000000001</v>
      </c>
      <c r="Q27" s="170">
        <v>42.88944</v>
      </c>
      <c r="R27" s="187">
        <v>47.652259999999998</v>
      </c>
      <c r="S27" s="9">
        <f t="shared" si="17"/>
        <v>49.081827799999999</v>
      </c>
      <c r="T27" s="9">
        <f t="shared" si="17"/>
        <v>50.554282634000003</v>
      </c>
      <c r="U27" s="9">
        <f t="shared" si="17"/>
        <v>52.070911113020003</v>
      </c>
      <c r="V27" s="9">
        <f t="shared" si="17"/>
        <v>53.633038446410602</v>
      </c>
      <c r="W27" s="9">
        <f t="shared" si="17"/>
        <v>55.242029599802919</v>
      </c>
      <c r="X27" s="9">
        <f t="shared" si="17"/>
        <v>56.89929048779701</v>
      </c>
      <c r="Y27" s="9">
        <f t="shared" si="17"/>
        <v>58.606269202430923</v>
      </c>
      <c r="Z27" s="9">
        <f t="shared" si="17"/>
        <v>60.364457278503849</v>
      </c>
      <c r="AA27" s="9">
        <f t="shared" si="17"/>
        <v>62.175390996858965</v>
      </c>
      <c r="AB27" s="9">
        <f t="shared" si="17"/>
        <v>64.040652726764733</v>
      </c>
      <c r="AC27" s="9">
        <f t="shared" si="17"/>
        <v>65.961872308567678</v>
      </c>
      <c r="AD27" s="9">
        <f t="shared" si="17"/>
        <v>67.940728477824706</v>
      </c>
      <c r="AE27" s="9">
        <f t="shared" si="17"/>
        <v>69.978950332159442</v>
      </c>
      <c r="AF27" s="9">
        <f t="shared" si="18"/>
        <v>72.078318842124233</v>
      </c>
      <c r="AG27" s="9">
        <f t="shared" si="18"/>
        <v>74.240668407387957</v>
      </c>
      <c r="AH27" s="9">
        <f t="shared" si="18"/>
        <v>76.467888459609597</v>
      </c>
    </row>
    <row r="28" spans="1:34" x14ac:dyDescent="0.25">
      <c r="A28" t="s">
        <v>13</v>
      </c>
      <c r="C28" s="8">
        <v>32</v>
      </c>
      <c r="D28" s="8">
        <v>29</v>
      </c>
      <c r="E28" s="8">
        <v>30</v>
      </c>
      <c r="F28" s="8">
        <v>30</v>
      </c>
      <c r="G28" s="8">
        <v>20</v>
      </c>
      <c r="H28" s="8">
        <v>22</v>
      </c>
      <c r="I28" s="100">
        <v>22</v>
      </c>
      <c r="J28" s="100">
        <v>19</v>
      </c>
      <c r="K28" s="100">
        <v>22</v>
      </c>
      <c r="L28" s="100">
        <v>28</v>
      </c>
      <c r="M28" s="100">
        <v>32.895189999999999</v>
      </c>
      <c r="N28" s="100">
        <v>44.509610000000002</v>
      </c>
      <c r="O28" s="158">
        <f>1.9+40.33459</f>
        <v>42.234589999999997</v>
      </c>
      <c r="P28" s="158">
        <f>92.06126-P29</f>
        <v>49.003140000000002</v>
      </c>
      <c r="Q28" s="170">
        <v>42.54</v>
      </c>
      <c r="R28" s="187">
        <v>59.610999999999997</v>
      </c>
      <c r="S28" s="9">
        <f t="shared" si="17"/>
        <v>61.399329999999999</v>
      </c>
      <c r="T28" s="9">
        <f t="shared" si="17"/>
        <v>63.241309899999997</v>
      </c>
      <c r="U28" s="9">
        <f t="shared" si="17"/>
        <v>65.138549197000003</v>
      </c>
      <c r="V28" s="9">
        <f t="shared" si="17"/>
        <v>67.09270567291</v>
      </c>
      <c r="W28" s="9">
        <f t="shared" si="17"/>
        <v>69.105486843097296</v>
      </c>
      <c r="X28" s="9">
        <f t="shared" si="17"/>
        <v>71.178651448390212</v>
      </c>
      <c r="Y28" s="9">
        <f t="shared" si="17"/>
        <v>73.314010991841926</v>
      </c>
      <c r="Z28" s="9">
        <f t="shared" si="17"/>
        <v>75.513431321597182</v>
      </c>
      <c r="AA28" s="9">
        <f t="shared" si="17"/>
        <v>77.778834261245095</v>
      </c>
      <c r="AB28" s="9">
        <f t="shared" si="18"/>
        <v>80.112199289082454</v>
      </c>
      <c r="AC28" s="9">
        <f t="shared" si="18"/>
        <v>82.515565267754937</v>
      </c>
      <c r="AD28" s="9">
        <f t="shared" si="18"/>
        <v>84.991032225787592</v>
      </c>
      <c r="AE28" s="9">
        <f t="shared" si="18"/>
        <v>87.540763192561215</v>
      </c>
      <c r="AF28" s="9">
        <f t="shared" si="18"/>
        <v>90.166986088338049</v>
      </c>
      <c r="AG28" s="9">
        <f t="shared" si="18"/>
        <v>92.871995670988198</v>
      </c>
      <c r="AH28" s="9">
        <f t="shared" si="18"/>
        <v>95.65815554111785</v>
      </c>
    </row>
    <row r="29" spans="1:34" x14ac:dyDescent="0.25">
      <c r="A29" t="s">
        <v>14</v>
      </c>
      <c r="C29" s="8">
        <v>42</v>
      </c>
      <c r="D29" s="8">
        <v>46</v>
      </c>
      <c r="E29" s="8">
        <v>45</v>
      </c>
      <c r="F29" s="8">
        <v>50</v>
      </c>
      <c r="G29" s="8">
        <v>42</v>
      </c>
      <c r="H29" s="8">
        <v>39</v>
      </c>
      <c r="I29" s="100">
        <v>31</v>
      </c>
      <c r="J29" s="100">
        <v>31</v>
      </c>
      <c r="K29" s="100">
        <v>33</v>
      </c>
      <c r="L29" s="100">
        <v>33</v>
      </c>
      <c r="M29" s="100">
        <v>52.671199999999999</v>
      </c>
      <c r="N29" s="100">
        <v>47.034960000000005</v>
      </c>
      <c r="O29" s="158">
        <f>6.68757+36.53486+4.35984</f>
        <v>47.582270000000001</v>
      </c>
      <c r="P29" s="158">
        <v>43.058120000000002</v>
      </c>
      <c r="Q29" s="170">
        <f>37.19+12.74</f>
        <v>49.93</v>
      </c>
      <c r="R29" s="187">
        <v>65.099999999999994</v>
      </c>
      <c r="S29" s="9">
        <f t="shared" si="17"/>
        <v>67.052999999999997</v>
      </c>
      <c r="T29" s="9">
        <f t="shared" si="17"/>
        <v>69.064589999999995</v>
      </c>
      <c r="U29" s="9">
        <f t="shared" si="17"/>
        <v>71.136527700000002</v>
      </c>
      <c r="V29" s="9">
        <f t="shared" si="17"/>
        <v>73.270623530999998</v>
      </c>
      <c r="W29" s="9">
        <f t="shared" si="17"/>
        <v>75.468742236929998</v>
      </c>
      <c r="X29" s="9">
        <f t="shared" si="17"/>
        <v>77.732804504037901</v>
      </c>
      <c r="Y29" s="9">
        <f t="shared" si="17"/>
        <v>80.064788639159033</v>
      </c>
      <c r="Z29" s="9">
        <f t="shared" si="17"/>
        <v>82.46673229833381</v>
      </c>
      <c r="AA29" s="9">
        <f t="shared" si="17"/>
        <v>84.94073426728383</v>
      </c>
      <c r="AB29" s="9">
        <f t="shared" si="17"/>
        <v>87.488956295302344</v>
      </c>
      <c r="AC29" s="9">
        <f t="shared" si="17"/>
        <v>90.113624984161419</v>
      </c>
      <c r="AD29" s="9">
        <f t="shared" si="18"/>
        <v>92.817033733686259</v>
      </c>
      <c r="AE29" s="9">
        <f t="shared" si="18"/>
        <v>95.601544745696856</v>
      </c>
      <c r="AF29" s="9">
        <f t="shared" si="18"/>
        <v>98.469591088067759</v>
      </c>
      <c r="AG29" s="9">
        <f t="shared" si="18"/>
        <v>101.4236788207098</v>
      </c>
      <c r="AH29" s="9">
        <f t="shared" si="18"/>
        <v>104.4663891853311</v>
      </c>
    </row>
    <row r="30" spans="1:34" s="6" customFormat="1" x14ac:dyDescent="0.25">
      <c r="A30" s="6" t="s">
        <v>45</v>
      </c>
      <c r="C30" s="12">
        <f t="shared" ref="C30:AH30" si="19">SUM(C23:C29)</f>
        <v>1335</v>
      </c>
      <c r="D30" s="12">
        <f t="shared" si="19"/>
        <v>1240</v>
      </c>
      <c r="E30" s="12">
        <f t="shared" si="19"/>
        <v>1248</v>
      </c>
      <c r="F30" s="12">
        <f t="shared" si="19"/>
        <v>1295</v>
      </c>
      <c r="G30" s="12">
        <f t="shared" si="19"/>
        <v>1341</v>
      </c>
      <c r="H30" s="12">
        <f t="shared" si="19"/>
        <v>1339</v>
      </c>
      <c r="I30" s="12">
        <f t="shared" si="19"/>
        <v>1391</v>
      </c>
      <c r="J30" s="12">
        <f t="shared" si="19"/>
        <v>1328</v>
      </c>
      <c r="K30" s="12">
        <f t="shared" si="19"/>
        <v>1316</v>
      </c>
      <c r="L30" s="12">
        <f t="shared" si="19"/>
        <v>1346</v>
      </c>
      <c r="M30" s="12">
        <f t="shared" si="19"/>
        <v>1445.7223299999996</v>
      </c>
      <c r="N30" s="12">
        <f t="shared" si="19"/>
        <v>1319.8668399999999</v>
      </c>
      <c r="O30" s="12">
        <f t="shared" si="19"/>
        <v>1508.4210200000002</v>
      </c>
      <c r="P30" s="12">
        <f t="shared" si="19"/>
        <v>1833.0350100000001</v>
      </c>
      <c r="Q30" s="173">
        <f t="shared" si="19"/>
        <v>1994.64176</v>
      </c>
      <c r="R30" s="201">
        <f t="shared" si="19"/>
        <v>2064.3486400000002</v>
      </c>
      <c r="S30" s="12">
        <f t="shared" si="19"/>
        <v>2126.2790992</v>
      </c>
      <c r="T30" s="12">
        <f t="shared" si="19"/>
        <v>2190.0674721760001</v>
      </c>
      <c r="U30" s="12">
        <f t="shared" si="19"/>
        <v>2255.76949634128</v>
      </c>
      <c r="V30" s="12">
        <f t="shared" si="19"/>
        <v>2323.4425812315189</v>
      </c>
      <c r="W30" s="12">
        <f t="shared" si="19"/>
        <v>2393.1458586684648</v>
      </c>
      <c r="X30" s="12">
        <f t="shared" si="19"/>
        <v>2464.9402344285181</v>
      </c>
      <c r="Y30" s="12">
        <f t="shared" si="19"/>
        <v>2538.888441461374</v>
      </c>
      <c r="Z30" s="12">
        <f t="shared" si="19"/>
        <v>2615.0550947052147</v>
      </c>
      <c r="AA30" s="12">
        <f t="shared" si="19"/>
        <v>2693.5067475463716</v>
      </c>
      <c r="AB30" s="12">
        <f t="shared" si="19"/>
        <v>2774.3119499727627</v>
      </c>
      <c r="AC30" s="12">
        <f t="shared" si="19"/>
        <v>2857.5413084719462</v>
      </c>
      <c r="AD30" s="12">
        <f t="shared" si="19"/>
        <v>2943.2675477261046</v>
      </c>
      <c r="AE30" s="12">
        <f t="shared" si="19"/>
        <v>3031.5655741578876</v>
      </c>
      <c r="AF30" s="12">
        <f t="shared" si="19"/>
        <v>3122.5125413826236</v>
      </c>
      <c r="AG30" s="12">
        <f t="shared" si="19"/>
        <v>3216.1879176241032</v>
      </c>
      <c r="AH30" s="12">
        <f t="shared" si="19"/>
        <v>3312.6735551528263</v>
      </c>
    </row>
    <row r="31" spans="1:34" x14ac:dyDescent="0.25">
      <c r="A31" s="56" t="s">
        <v>53</v>
      </c>
      <c r="D31" s="55">
        <f>+D30/C30-1</f>
        <v>-7.1161048689138529E-2</v>
      </c>
      <c r="E31" s="55">
        <f t="shared" ref="E31:AH31" si="20">+E30/D30-1</f>
        <v>6.4516129032257119E-3</v>
      </c>
      <c r="F31" s="55">
        <f t="shared" si="20"/>
        <v>3.7660256410256387E-2</v>
      </c>
      <c r="G31" s="55">
        <f t="shared" si="20"/>
        <v>3.5521235521235539E-2</v>
      </c>
      <c r="H31" s="55">
        <f t="shared" si="20"/>
        <v>-1.491424310216205E-3</v>
      </c>
      <c r="I31" s="55">
        <f t="shared" si="20"/>
        <v>3.8834951456310662E-2</v>
      </c>
      <c r="J31" s="55">
        <f t="shared" si="20"/>
        <v>-4.5291157440690122E-2</v>
      </c>
      <c r="K31" s="55">
        <f t="shared" si="20"/>
        <v>-9.0361445783132543E-3</v>
      </c>
      <c r="L31" s="55">
        <f t="shared" si="20"/>
        <v>2.2796352583586588E-2</v>
      </c>
      <c r="M31" s="55">
        <f t="shared" si="20"/>
        <v>7.4087912332837735E-2</v>
      </c>
      <c r="N31" s="55">
        <f t="shared" si="20"/>
        <v>-8.7053708300956933E-2</v>
      </c>
      <c r="O31" s="55">
        <f t="shared" si="20"/>
        <v>0.14285848714859783</v>
      </c>
      <c r="P31" s="55">
        <f t="shared" si="20"/>
        <v>0.21520118434838564</v>
      </c>
      <c r="Q31" s="172">
        <f>+Q30/P30-1</f>
        <v>8.8163482485803746E-2</v>
      </c>
      <c r="R31" s="197">
        <f t="shared" si="20"/>
        <v>3.4947067387178343E-2</v>
      </c>
      <c r="S31" s="55">
        <f t="shared" si="20"/>
        <v>3.0000000000000027E-2</v>
      </c>
      <c r="T31" s="55">
        <f t="shared" si="20"/>
        <v>3.0000000000000027E-2</v>
      </c>
      <c r="U31" s="55">
        <f t="shared" si="20"/>
        <v>3.0000000000000027E-2</v>
      </c>
      <c r="V31" s="55">
        <f t="shared" si="20"/>
        <v>3.0000000000000249E-2</v>
      </c>
      <c r="W31" s="55">
        <f t="shared" si="20"/>
        <v>3.0000000000000027E-2</v>
      </c>
      <c r="X31" s="55">
        <f t="shared" si="20"/>
        <v>2.9999999999999805E-2</v>
      </c>
      <c r="Y31" s="55">
        <f t="shared" si="20"/>
        <v>3.0000000000000027E-2</v>
      </c>
      <c r="Z31" s="55">
        <f t="shared" si="20"/>
        <v>2.9999999999999805E-2</v>
      </c>
      <c r="AA31" s="55">
        <f t="shared" si="20"/>
        <v>3.0000000000000249E-2</v>
      </c>
      <c r="AB31" s="55">
        <f t="shared" si="20"/>
        <v>3.0000000000000027E-2</v>
      </c>
      <c r="AC31" s="55">
        <f t="shared" si="20"/>
        <v>3.0000000000000249E-2</v>
      </c>
      <c r="AD31" s="55">
        <f t="shared" si="20"/>
        <v>3.0000000000000027E-2</v>
      </c>
      <c r="AE31" s="55">
        <f t="shared" si="20"/>
        <v>3.0000000000000027E-2</v>
      </c>
      <c r="AF31" s="55">
        <f t="shared" si="20"/>
        <v>2.9999999999999805E-2</v>
      </c>
      <c r="AG31" s="55">
        <f t="shared" si="20"/>
        <v>3.0000000000000249E-2</v>
      </c>
      <c r="AH31" s="55">
        <f t="shared" si="20"/>
        <v>3.0000000000000027E-2</v>
      </c>
    </row>
    <row r="32" spans="1:34" x14ac:dyDescent="0.25">
      <c r="A32" s="42" t="s">
        <v>47</v>
      </c>
      <c r="C32" s="8">
        <v>21</v>
      </c>
      <c r="D32" s="8">
        <v>0</v>
      </c>
      <c r="E32" s="8">
        <v>0</v>
      </c>
      <c r="F32" s="2">
        <v>0</v>
      </c>
      <c r="O32" s="50"/>
      <c r="P32" s="50"/>
      <c r="Q32" s="144"/>
      <c r="R32" s="149"/>
    </row>
    <row r="33" spans="1:34" x14ac:dyDescent="0.25">
      <c r="A33" s="56"/>
      <c r="D33" s="55"/>
      <c r="E33" s="55"/>
      <c r="F33" s="55"/>
      <c r="G33" s="55"/>
      <c r="H33" s="55"/>
      <c r="I33" s="55"/>
      <c r="J33" s="55"/>
      <c r="K33" s="55"/>
      <c r="L33" s="55"/>
      <c r="M33" s="55"/>
      <c r="N33" s="55"/>
      <c r="O33" s="159"/>
      <c r="P33" s="159"/>
      <c r="Q33" s="143"/>
      <c r="R33" s="151"/>
      <c r="S33" s="55"/>
      <c r="T33" s="55"/>
      <c r="U33" s="55"/>
      <c r="V33" s="55"/>
      <c r="W33" s="55"/>
      <c r="X33" s="55"/>
      <c r="Y33" s="55"/>
      <c r="Z33" s="55"/>
      <c r="AA33" s="55"/>
      <c r="AB33" s="55"/>
      <c r="AC33" s="55"/>
      <c r="AD33" s="55"/>
      <c r="AE33" s="55"/>
      <c r="AF33" s="55"/>
      <c r="AG33" s="55"/>
      <c r="AH33" s="55"/>
    </row>
    <row r="34" spans="1:34" x14ac:dyDescent="0.25">
      <c r="A34" s="81" t="s">
        <v>59</v>
      </c>
      <c r="B34" s="82"/>
      <c r="C34" s="83">
        <f t="shared" ref="C34:AH34" si="21">+C20-C30+C32</f>
        <v>-587</v>
      </c>
      <c r="D34" s="83">
        <f t="shared" si="21"/>
        <v>-385</v>
      </c>
      <c r="E34" s="83">
        <f t="shared" si="21"/>
        <v>-254</v>
      </c>
      <c r="F34" s="83">
        <f t="shared" si="21"/>
        <v>-241</v>
      </c>
      <c r="G34" s="83">
        <f t="shared" si="21"/>
        <v>-216</v>
      </c>
      <c r="H34" s="83">
        <f t="shared" si="21"/>
        <v>-213</v>
      </c>
      <c r="I34" s="83">
        <f t="shared" si="21"/>
        <v>-275</v>
      </c>
      <c r="J34" s="83">
        <f t="shared" si="21"/>
        <v>-164</v>
      </c>
      <c r="K34" s="83">
        <f t="shared" si="21"/>
        <v>-105</v>
      </c>
      <c r="L34" s="83">
        <f t="shared" si="21"/>
        <v>6</v>
      </c>
      <c r="M34" s="83">
        <f t="shared" si="21"/>
        <v>52.197440000000142</v>
      </c>
      <c r="N34" s="83">
        <f t="shared" si="21"/>
        <v>288.43481700000029</v>
      </c>
      <c r="O34" s="83">
        <f>+O20-O30+O32</f>
        <v>429.3632299999997</v>
      </c>
      <c r="P34" s="83">
        <f t="shared" si="21"/>
        <v>413.37753999999995</v>
      </c>
      <c r="Q34" s="174">
        <f t="shared" si="21"/>
        <v>608.35006999999996</v>
      </c>
      <c r="R34" s="202">
        <f t="shared" si="21"/>
        <v>673.29093999999986</v>
      </c>
      <c r="S34" s="83">
        <f t="shared" si="21"/>
        <v>763.14459220000026</v>
      </c>
      <c r="T34" s="83">
        <f t="shared" si="21"/>
        <v>875.30105956599982</v>
      </c>
      <c r="U34" s="83">
        <f t="shared" si="21"/>
        <v>996.50555679297986</v>
      </c>
      <c r="V34" s="83">
        <f t="shared" si="21"/>
        <v>1127.374703036769</v>
      </c>
      <c r="W34" s="83">
        <f t="shared" si="21"/>
        <v>1268.5639255142723</v>
      </c>
      <c r="X34" s="83">
        <f t="shared" si="21"/>
        <v>1420.769791748291</v>
      </c>
      <c r="Y34" s="83">
        <f t="shared" si="21"/>
        <v>1584.732477806273</v>
      </c>
      <c r="Z34" s="83">
        <f t="shared" si="21"/>
        <v>1761.2383802954605</v>
      </c>
      <c r="AA34" s="83">
        <f t="shared" si="21"/>
        <v>1912.4051791105144</v>
      </c>
      <c r="AB34" s="83">
        <f t="shared" si="21"/>
        <v>2026.3422920718322</v>
      </c>
      <c r="AC34" s="83">
        <f t="shared" si="21"/>
        <v>2100.2922525970894</v>
      </c>
      <c r="AD34" s="83">
        <f t="shared" si="21"/>
        <v>2148.4359397854569</v>
      </c>
      <c r="AE34" s="83">
        <f t="shared" si="21"/>
        <v>2197.652310579736</v>
      </c>
      <c r="AF34" s="83">
        <f t="shared" si="21"/>
        <v>2247.9642548128622</v>
      </c>
      <c r="AG34" s="83">
        <f t="shared" si="21"/>
        <v>2299.3951167458749</v>
      </c>
      <c r="AH34" s="83">
        <f t="shared" si="21"/>
        <v>2351.9687028940943</v>
      </c>
    </row>
    <row r="35" spans="1:34" x14ac:dyDescent="0.25">
      <c r="A35" s="56"/>
      <c r="D35" s="55"/>
      <c r="E35" s="55"/>
      <c r="F35" s="55"/>
      <c r="G35" s="55"/>
      <c r="H35" s="55"/>
      <c r="I35" s="55"/>
      <c r="J35" s="55"/>
      <c r="K35" s="55"/>
      <c r="L35" s="55"/>
      <c r="M35" s="55"/>
      <c r="N35" s="140"/>
      <c r="O35" s="160"/>
      <c r="P35" s="160"/>
      <c r="Q35" s="145"/>
      <c r="R35" s="151"/>
      <c r="S35" s="55"/>
      <c r="T35" s="55"/>
      <c r="U35" s="55"/>
      <c r="V35" s="55"/>
      <c r="W35" s="55"/>
      <c r="X35" s="55"/>
      <c r="Y35" s="55"/>
      <c r="Z35" s="55"/>
      <c r="AA35" s="55"/>
      <c r="AB35" s="55"/>
      <c r="AC35" s="55"/>
      <c r="AD35" s="55"/>
      <c r="AE35" s="55"/>
      <c r="AF35" s="55"/>
      <c r="AG35" s="55"/>
      <c r="AH35" s="55"/>
    </row>
    <row r="36" spans="1:34" x14ac:dyDescent="0.25">
      <c r="A36" t="s">
        <v>23</v>
      </c>
      <c r="C36" s="8">
        <v>-5</v>
      </c>
      <c r="D36" s="8">
        <v>-3</v>
      </c>
      <c r="E36" s="8">
        <v>-35</v>
      </c>
      <c r="F36" s="8">
        <v>-5</v>
      </c>
      <c r="G36" s="63">
        <v>-4</v>
      </c>
      <c r="H36" s="63">
        <v>-16</v>
      </c>
      <c r="I36" s="63">
        <v>-17</v>
      </c>
      <c r="J36" s="116">
        <v>-3</v>
      </c>
      <c r="K36" s="63">
        <v>0</v>
      </c>
      <c r="L36" s="63">
        <v>-27</v>
      </c>
      <c r="M36" s="63">
        <v>0</v>
      </c>
      <c r="N36" s="63">
        <v>0</v>
      </c>
      <c r="O36" s="158">
        <v>-87.489000000000004</v>
      </c>
      <c r="P36" s="158">
        <v>-130.51330999999999</v>
      </c>
      <c r="Q36" s="170">
        <v>-236.96600000000001</v>
      </c>
      <c r="R36" s="187">
        <v>-202</v>
      </c>
      <c r="S36" s="15">
        <f t="shared" ref="S36:AH36" si="22">+S34*-0.25</f>
        <v>-190.78614805000007</v>
      </c>
      <c r="T36" s="15">
        <f t="shared" si="22"/>
        <v>-218.82526489149996</v>
      </c>
      <c r="U36" s="15">
        <f t="shared" si="22"/>
        <v>-249.12638919824496</v>
      </c>
      <c r="V36" s="15">
        <f t="shared" si="22"/>
        <v>-281.84367575919225</v>
      </c>
      <c r="W36" s="15">
        <f t="shared" si="22"/>
        <v>-317.14098137856809</v>
      </c>
      <c r="X36" s="15">
        <f t="shared" si="22"/>
        <v>-355.19244793707276</v>
      </c>
      <c r="Y36" s="15">
        <f t="shared" si="22"/>
        <v>-396.18311945156825</v>
      </c>
      <c r="Z36" s="15">
        <f t="shared" si="22"/>
        <v>-440.30959507386513</v>
      </c>
      <c r="AA36" s="15">
        <f t="shared" si="22"/>
        <v>-478.1012947776286</v>
      </c>
      <c r="AB36" s="15">
        <f t="shared" si="22"/>
        <v>-506.58557301795804</v>
      </c>
      <c r="AC36" s="15">
        <f t="shared" si="22"/>
        <v>-525.07306314927234</v>
      </c>
      <c r="AD36" s="15">
        <f>+AD34*-0.25</f>
        <v>-537.10898494636422</v>
      </c>
      <c r="AE36" s="15">
        <f t="shared" si="22"/>
        <v>-549.41307764493399</v>
      </c>
      <c r="AF36" s="15">
        <f t="shared" si="22"/>
        <v>-561.99106370321556</v>
      </c>
      <c r="AG36" s="15">
        <f t="shared" si="22"/>
        <v>-574.84877918646873</v>
      </c>
      <c r="AH36" s="15">
        <f t="shared" si="22"/>
        <v>-587.99217572352359</v>
      </c>
    </row>
    <row r="37" spans="1:34" x14ac:dyDescent="0.25">
      <c r="A37" t="s">
        <v>42</v>
      </c>
      <c r="C37" s="8">
        <f>10+15+2+13-11</f>
        <v>29</v>
      </c>
      <c r="D37" s="10">
        <v>26</v>
      </c>
      <c r="E37" s="10">
        <v>26</v>
      </c>
      <c r="F37" s="112">
        <v>47</v>
      </c>
      <c r="G37" s="112">
        <v>36</v>
      </c>
      <c r="H37" s="113">
        <v>-44</v>
      </c>
      <c r="I37" s="54">
        <v>-59</v>
      </c>
      <c r="J37" s="102">
        <v>8</v>
      </c>
      <c r="K37" s="43">
        <v>-56</v>
      </c>
      <c r="L37" s="43">
        <v>50</v>
      </c>
      <c r="M37" s="63">
        <v>0</v>
      </c>
      <c r="N37" s="63">
        <v>45</v>
      </c>
      <c r="O37" s="158">
        <v>46</v>
      </c>
      <c r="P37" s="158">
        <v>-291.48355700000093</v>
      </c>
      <c r="Q37" s="170">
        <v>-97.07302999999996</v>
      </c>
      <c r="R37" s="186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</row>
    <row r="38" spans="1:34" x14ac:dyDescent="0.25">
      <c r="C38" s="8"/>
      <c r="D38" s="10"/>
      <c r="E38" s="10"/>
      <c r="F38" s="10"/>
      <c r="G38" s="10"/>
      <c r="H38" s="11"/>
      <c r="O38" s="50"/>
      <c r="P38" s="50"/>
      <c r="Q38" s="161"/>
      <c r="R38" s="186"/>
    </row>
    <row r="39" spans="1:34" x14ac:dyDescent="0.25">
      <c r="A39" s="81" t="s">
        <v>60</v>
      </c>
      <c r="B39" s="82"/>
      <c r="C39" s="83">
        <f t="shared" ref="C39:AC39" si="23">SUM(C34:C37)</f>
        <v>-563</v>
      </c>
      <c r="D39" s="83">
        <f t="shared" si="23"/>
        <v>-362</v>
      </c>
      <c r="E39" s="83">
        <f t="shared" si="23"/>
        <v>-263</v>
      </c>
      <c r="F39" s="83">
        <f t="shared" si="23"/>
        <v>-199</v>
      </c>
      <c r="G39" s="83">
        <f t="shared" si="23"/>
        <v>-184</v>
      </c>
      <c r="H39" s="83">
        <f t="shared" si="23"/>
        <v>-273</v>
      </c>
      <c r="I39" s="83">
        <f t="shared" si="23"/>
        <v>-351</v>
      </c>
      <c r="J39" s="83">
        <f t="shared" si="23"/>
        <v>-159</v>
      </c>
      <c r="K39" s="83">
        <f t="shared" si="23"/>
        <v>-161</v>
      </c>
      <c r="L39" s="83">
        <f t="shared" si="23"/>
        <v>29</v>
      </c>
      <c r="M39" s="83">
        <f t="shared" si="23"/>
        <v>52.197440000000142</v>
      </c>
      <c r="N39" s="83">
        <f t="shared" si="23"/>
        <v>333.43481700000029</v>
      </c>
      <c r="O39" s="83">
        <f>SUM(O34:O37)</f>
        <v>387.87422999999967</v>
      </c>
      <c r="P39" s="83">
        <f>SUM(P34:P37)</f>
        <v>-8.6193270000009647</v>
      </c>
      <c r="Q39" s="174">
        <f t="shared" si="23"/>
        <v>274.31103999999999</v>
      </c>
      <c r="R39" s="202">
        <f t="shared" si="23"/>
        <v>471.29093999999986</v>
      </c>
      <c r="S39" s="83">
        <f t="shared" si="23"/>
        <v>572.3584441500002</v>
      </c>
      <c r="T39" s="83">
        <f t="shared" si="23"/>
        <v>656.47579467449987</v>
      </c>
      <c r="U39" s="83">
        <f t="shared" si="23"/>
        <v>747.37916759473489</v>
      </c>
      <c r="V39" s="83">
        <f t="shared" si="23"/>
        <v>845.53102727757675</v>
      </c>
      <c r="W39" s="83">
        <f t="shared" si="23"/>
        <v>951.42294413570426</v>
      </c>
      <c r="X39" s="83">
        <f t="shared" si="23"/>
        <v>1065.5773438112183</v>
      </c>
      <c r="Y39" s="83">
        <f t="shared" si="23"/>
        <v>1188.5493583547047</v>
      </c>
      <c r="Z39" s="83">
        <f t="shared" si="23"/>
        <v>1320.9287852215953</v>
      </c>
      <c r="AA39" s="83">
        <f t="shared" si="23"/>
        <v>1434.3038843328859</v>
      </c>
      <c r="AB39" s="83">
        <f t="shared" si="23"/>
        <v>1519.7567190538741</v>
      </c>
      <c r="AC39" s="83">
        <f t="shared" si="23"/>
        <v>1575.2191894478169</v>
      </c>
      <c r="AD39" s="83">
        <f t="shared" ref="AD39:AF39" si="24">SUM(AD34:AD37)</f>
        <v>1611.3269548390927</v>
      </c>
      <c r="AE39" s="83">
        <f t="shared" si="24"/>
        <v>1648.239232934802</v>
      </c>
      <c r="AF39" s="83">
        <f t="shared" si="24"/>
        <v>1685.9731911096467</v>
      </c>
      <c r="AG39" s="83">
        <f>SUM(AG34:AG37)</f>
        <v>1724.5463375594063</v>
      </c>
      <c r="AH39" s="83">
        <f t="shared" ref="AH39" si="25">SUM(AH34:AH37)</f>
        <v>1763.9765271705708</v>
      </c>
    </row>
    <row r="40" spans="1:34" x14ac:dyDescent="0.25">
      <c r="A40" s="56"/>
      <c r="D40" s="55"/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159"/>
      <c r="P40" s="159"/>
      <c r="Q40" s="143"/>
      <c r="R40" s="197"/>
      <c r="S40" s="55"/>
      <c r="T40" s="55"/>
      <c r="U40" s="55"/>
      <c r="V40" s="55"/>
      <c r="W40" s="55"/>
      <c r="X40" s="55"/>
      <c r="Y40" s="55"/>
      <c r="Z40" s="55"/>
      <c r="AA40" s="55"/>
      <c r="AB40" s="55"/>
      <c r="AC40" s="55"/>
      <c r="AD40" s="55"/>
      <c r="AE40" s="55"/>
      <c r="AF40" s="55"/>
      <c r="AG40" s="55"/>
      <c r="AH40" s="55"/>
    </row>
    <row r="41" spans="1:34" x14ac:dyDescent="0.25">
      <c r="A41" t="s">
        <v>72</v>
      </c>
      <c r="C41" s="86">
        <v>178</v>
      </c>
      <c r="D41" s="86">
        <v>207</v>
      </c>
      <c r="E41" s="86">
        <v>229</v>
      </c>
      <c r="F41" s="86">
        <v>252</v>
      </c>
      <c r="G41" s="86">
        <v>207</v>
      </c>
      <c r="H41" s="86">
        <v>221</v>
      </c>
      <c r="I41" s="86">
        <v>238</v>
      </c>
      <c r="J41" s="117">
        <v>257</v>
      </c>
      <c r="K41" s="117">
        <v>271</v>
      </c>
      <c r="L41" s="117">
        <v>285</v>
      </c>
      <c r="M41" s="117">
        <v>295.43071000000003</v>
      </c>
      <c r="N41" s="117">
        <v>306</v>
      </c>
      <c r="O41" s="117">
        <v>314.17739999999998</v>
      </c>
      <c r="P41" s="117">
        <v>318.14296000000002</v>
      </c>
      <c r="Q41" s="175">
        <v>321.09050000000002</v>
      </c>
      <c r="R41" s="203">
        <f t="shared" ref="R41:AH41" si="26">MAX((Q45+(R30-R20)/2)*R11,0)</f>
        <v>310.83581945000003</v>
      </c>
      <c r="S41" s="89">
        <f t="shared" si="26"/>
        <v>307.77786173387494</v>
      </c>
      <c r="T41" s="89">
        <f t="shared" si="26"/>
        <v>300.3580996455284</v>
      </c>
      <c r="U41" s="89">
        <f t="shared" si="26"/>
        <v>288.65016480406962</v>
      </c>
      <c r="V41" s="89">
        <f t="shared" si="26"/>
        <v>272.50467153374035</v>
      </c>
      <c r="W41" s="89">
        <f t="shared" si="26"/>
        <v>251.76674849332753</v>
      </c>
      <c r="X41" s="89">
        <f t="shared" si="26"/>
        <v>226.27582249305789</v>
      </c>
      <c r="Y41" s="89">
        <f t="shared" si="26"/>
        <v>199.76539307564005</v>
      </c>
      <c r="Z41" s="89">
        <f t="shared" si="26"/>
        <v>172.18954743514905</v>
      </c>
      <c r="AA41" s="89">
        <f t="shared" si="26"/>
        <v>144.12924724604679</v>
      </c>
      <c r="AB41" s="89">
        <f t="shared" si="26"/>
        <v>115.76196969592188</v>
      </c>
      <c r="AC41" s="89">
        <f t="shared" si="26"/>
        <v>87.122546852503902</v>
      </c>
      <c r="AD41" s="89">
        <f t="shared" si="26"/>
        <v>57.971694708399312</v>
      </c>
      <c r="AE41" s="89">
        <f t="shared" si="26"/>
        <v>27.856008761015254</v>
      </c>
      <c r="AF41" s="89">
        <f t="shared" si="26"/>
        <v>0</v>
      </c>
      <c r="AG41" s="89">
        <f t="shared" si="26"/>
        <v>0</v>
      </c>
      <c r="AH41" s="89">
        <f t="shared" si="26"/>
        <v>0</v>
      </c>
    </row>
    <row r="42" spans="1:34" x14ac:dyDescent="0.25">
      <c r="A42" t="s">
        <v>78</v>
      </c>
      <c r="C42" s="86"/>
      <c r="D42" s="86"/>
      <c r="E42" s="86"/>
      <c r="F42" s="86"/>
      <c r="G42" s="86"/>
      <c r="H42" s="86"/>
      <c r="I42" s="86"/>
      <c r="J42" s="117"/>
      <c r="K42" s="117"/>
      <c r="L42" s="117"/>
      <c r="M42" s="117"/>
      <c r="N42" s="117">
        <v>-60</v>
      </c>
      <c r="O42" s="117">
        <f>-15*12</f>
        <v>-180</v>
      </c>
      <c r="P42" s="117">
        <f>-20*12</f>
        <v>-240</v>
      </c>
      <c r="Q42" s="175">
        <f>-25*12</f>
        <v>-300</v>
      </c>
      <c r="R42" s="203">
        <f>-30*12</f>
        <v>-360</v>
      </c>
      <c r="S42" s="89">
        <f>-40*12</f>
        <v>-480</v>
      </c>
      <c r="T42" s="89">
        <f>-50*12</f>
        <v>-600</v>
      </c>
      <c r="U42" s="89">
        <f>-60*12</f>
        <v>-720</v>
      </c>
      <c r="V42" s="89">
        <f>-70*12</f>
        <v>-840</v>
      </c>
      <c r="W42" s="89">
        <f>-80*12</f>
        <v>-960</v>
      </c>
      <c r="X42" s="89">
        <f>W42</f>
        <v>-960</v>
      </c>
      <c r="Y42" s="89">
        <f t="shared" ref="Y42:AH42" si="27">X42</f>
        <v>-960</v>
      </c>
      <c r="Z42" s="89">
        <f t="shared" si="27"/>
        <v>-960</v>
      </c>
      <c r="AA42" s="89">
        <f t="shared" si="27"/>
        <v>-960</v>
      </c>
      <c r="AB42" s="89">
        <f t="shared" si="27"/>
        <v>-960</v>
      </c>
      <c r="AC42" s="89">
        <f t="shared" si="27"/>
        <v>-960</v>
      </c>
      <c r="AD42" s="89">
        <f>AC42</f>
        <v>-960</v>
      </c>
      <c r="AE42" s="89">
        <f t="shared" si="27"/>
        <v>-960</v>
      </c>
      <c r="AF42" s="89">
        <f t="shared" si="27"/>
        <v>-960</v>
      </c>
      <c r="AG42" s="89">
        <f t="shared" si="27"/>
        <v>-960</v>
      </c>
      <c r="AH42" s="89">
        <f t="shared" si="27"/>
        <v>-960</v>
      </c>
    </row>
    <row r="43" spans="1:34" s="6" customFormat="1" x14ac:dyDescent="0.25">
      <c r="A43" s="6" t="s">
        <v>61</v>
      </c>
      <c r="C43" s="12">
        <f t="shared" ref="C43:M43" si="28">+C39-C41</f>
        <v>-741</v>
      </c>
      <c r="D43" s="12">
        <f t="shared" si="28"/>
        <v>-569</v>
      </c>
      <c r="E43" s="12">
        <f t="shared" si="28"/>
        <v>-492</v>
      </c>
      <c r="F43" s="12">
        <f t="shared" si="28"/>
        <v>-451</v>
      </c>
      <c r="G43" s="12">
        <f t="shared" si="28"/>
        <v>-391</v>
      </c>
      <c r="H43" s="12">
        <f t="shared" si="28"/>
        <v>-494</v>
      </c>
      <c r="I43" s="12">
        <f t="shared" si="28"/>
        <v>-589</v>
      </c>
      <c r="J43" s="12">
        <f t="shared" si="28"/>
        <v>-416</v>
      </c>
      <c r="K43" s="12">
        <f t="shared" si="28"/>
        <v>-432</v>
      </c>
      <c r="L43" s="12">
        <f t="shared" si="28"/>
        <v>-256</v>
      </c>
      <c r="M43" s="12">
        <f t="shared" si="28"/>
        <v>-243.23326999999989</v>
      </c>
      <c r="N43" s="12">
        <f>+N39-N47</f>
        <v>87.434817000000294</v>
      </c>
      <c r="O43" s="12">
        <f>+O39-O47</f>
        <v>253.69682999999918</v>
      </c>
      <c r="P43" s="12">
        <f>+P39-P47</f>
        <v>-139.94268699999947</v>
      </c>
      <c r="Q43" s="189">
        <f>Q39+Q42</f>
        <v>-25.688960000000009</v>
      </c>
      <c r="R43" s="201">
        <f>R39+R42</f>
        <v>111.29093999999986</v>
      </c>
      <c r="S43" s="12">
        <f t="shared" ref="S43:AH43" si="29">+S39-S47</f>
        <v>744.5805824161248</v>
      </c>
      <c r="T43" s="12">
        <f t="shared" si="29"/>
        <v>956.11769502897232</v>
      </c>
      <c r="U43" s="12">
        <f t="shared" si="29"/>
        <v>1178.7290027906647</v>
      </c>
      <c r="V43" s="12">
        <f t="shared" si="29"/>
        <v>1413.0263557438357</v>
      </c>
      <c r="W43" s="12">
        <f t="shared" si="29"/>
        <v>1659.6561956423761</v>
      </c>
      <c r="X43" s="12">
        <f t="shared" si="29"/>
        <v>1799.3015213181607</v>
      </c>
      <c r="Y43" s="12">
        <f t="shared" si="29"/>
        <v>1948.7839652790651</v>
      </c>
      <c r="Z43" s="12">
        <f t="shared" si="29"/>
        <v>2108.7392377864458</v>
      </c>
      <c r="AA43" s="12">
        <f t="shared" si="29"/>
        <v>2250.1746370868395</v>
      </c>
      <c r="AB43" s="12">
        <f t="shared" si="29"/>
        <v>2363.9947493579521</v>
      </c>
      <c r="AC43" s="12">
        <f t="shared" si="29"/>
        <v>2448.0966425953129</v>
      </c>
      <c r="AD43" s="12">
        <f t="shared" si="29"/>
        <v>2513.3552601306933</v>
      </c>
      <c r="AE43" s="12">
        <f t="shared" si="29"/>
        <v>2580.3832241737864</v>
      </c>
      <c r="AF43" s="12">
        <f t="shared" si="29"/>
        <v>2645.9731911096469</v>
      </c>
      <c r="AG43" s="12">
        <f t="shared" si="29"/>
        <v>1788.3364634876821</v>
      </c>
      <c r="AH43" s="12">
        <f t="shared" si="29"/>
        <v>1763.9765271705708</v>
      </c>
    </row>
    <row r="44" spans="1:34" x14ac:dyDescent="0.25">
      <c r="D44" s="11"/>
      <c r="E44" s="11"/>
      <c r="F44" s="11"/>
      <c r="G44" s="11"/>
      <c r="H44" s="11"/>
      <c r="I44" s="11"/>
      <c r="J44" s="11"/>
      <c r="K44" s="11"/>
      <c r="L44" s="11"/>
      <c r="M44" s="11"/>
      <c r="O44" s="50"/>
      <c r="P44" s="50"/>
      <c r="Q44" s="144"/>
      <c r="R44" s="149"/>
    </row>
    <row r="45" spans="1:34" x14ac:dyDescent="0.25">
      <c r="A45" s="21" t="s">
        <v>26</v>
      </c>
      <c r="B45" s="21"/>
      <c r="C45" s="22">
        <v>4735</v>
      </c>
      <c r="D45" s="22">
        <v>5318</v>
      </c>
      <c r="E45" s="22">
        <f>5606+229</f>
        <v>5835</v>
      </c>
      <c r="F45" s="22">
        <v>6332</v>
      </c>
      <c r="G45" s="22">
        <v>6730</v>
      </c>
      <c r="H45" s="23">
        <v>7254</v>
      </c>
      <c r="I45" s="23">
        <f>7254+350+238</f>
        <v>7842</v>
      </c>
      <c r="J45" s="23">
        <v>8294</v>
      </c>
      <c r="K45" s="23">
        <v>8790</v>
      </c>
      <c r="L45" s="23">
        <f>8840+285</f>
        <v>9125</v>
      </c>
      <c r="M45" s="23">
        <f t="shared" ref="M45" si="30">MAX(0,+L45-M43)</f>
        <v>9368.2332700000006</v>
      </c>
      <c r="N45" s="23">
        <f>M45+N41+N42</f>
        <v>9614.2332700000006</v>
      </c>
      <c r="O45" s="23">
        <f>N45+O41+O42</f>
        <v>9748.4106700000011</v>
      </c>
      <c r="P45" s="23">
        <v>9879.7340299999996</v>
      </c>
      <c r="Q45" s="198">
        <f>P45+Q41+Q42</f>
        <v>9900.8245299999999</v>
      </c>
      <c r="R45" s="198">
        <f t="shared" ref="R45:AE45" si="31">Q45+R41+R42</f>
        <v>9851.6603494499996</v>
      </c>
      <c r="S45" s="23">
        <f t="shared" si="31"/>
        <v>9679.438211183875</v>
      </c>
      <c r="T45" s="23">
        <f t="shared" si="31"/>
        <v>9379.7963108294025</v>
      </c>
      <c r="U45" s="23">
        <f t="shared" si="31"/>
        <v>8948.4464756334728</v>
      </c>
      <c r="V45" s="23">
        <f t="shared" si="31"/>
        <v>8380.951147167214</v>
      </c>
      <c r="W45" s="23">
        <f t="shared" si="31"/>
        <v>7672.7178956605421</v>
      </c>
      <c r="X45" s="23">
        <f t="shared" si="31"/>
        <v>6938.9937181535997</v>
      </c>
      <c r="Y45" s="23">
        <f t="shared" si="31"/>
        <v>6178.7591112292394</v>
      </c>
      <c r="Z45" s="23">
        <f t="shared" si="31"/>
        <v>5390.9486586643889</v>
      </c>
      <c r="AA45" s="23">
        <f t="shared" si="31"/>
        <v>4575.0779059104352</v>
      </c>
      <c r="AB45" s="23">
        <f t="shared" si="31"/>
        <v>3730.8398756063571</v>
      </c>
      <c r="AC45" s="23">
        <f t="shared" si="31"/>
        <v>2857.9624224588611</v>
      </c>
      <c r="AD45" s="23">
        <f t="shared" si="31"/>
        <v>1955.9341171672604</v>
      </c>
      <c r="AE45" s="23">
        <f t="shared" si="31"/>
        <v>1023.7901259282758</v>
      </c>
      <c r="AF45" s="23">
        <f>AE45+AF41+AF42</f>
        <v>63.790125928275756</v>
      </c>
      <c r="AG45" s="23"/>
      <c r="AH45" s="23"/>
    </row>
    <row r="46" spans="1:34" x14ac:dyDescent="0.25">
      <c r="A46" s="21" t="s">
        <v>27</v>
      </c>
      <c r="B46" s="21"/>
      <c r="C46" s="22">
        <v>4731</v>
      </c>
      <c r="D46" s="22">
        <v>4752</v>
      </c>
      <c r="E46" s="22">
        <v>4776</v>
      </c>
      <c r="F46" s="22">
        <v>5144</v>
      </c>
      <c r="G46" s="22">
        <v>5444</v>
      </c>
      <c r="H46" s="24">
        <v>6424</v>
      </c>
      <c r="I46" s="24">
        <v>6773</v>
      </c>
      <c r="J46" s="24">
        <v>7482</v>
      </c>
      <c r="K46" s="24">
        <v>7500</v>
      </c>
      <c r="L46" s="24">
        <f t="shared" ref="L46:AF46" si="32">IF(L45&gt;0,K46+L48,MAX(0,K46+L48-(L43-(K45-L45))))</f>
        <v>7500</v>
      </c>
      <c r="M46" s="24">
        <f t="shared" si="32"/>
        <v>7500</v>
      </c>
      <c r="N46" s="24">
        <f t="shared" si="32"/>
        <v>7500</v>
      </c>
      <c r="O46" s="24">
        <f t="shared" si="32"/>
        <v>7500</v>
      </c>
      <c r="P46" s="24">
        <f t="shared" si="32"/>
        <v>7500</v>
      </c>
      <c r="Q46" s="182">
        <f t="shared" si="32"/>
        <v>7500</v>
      </c>
      <c r="R46" s="182">
        <f t="shared" si="32"/>
        <v>7500</v>
      </c>
      <c r="S46" s="24">
        <f t="shared" si="32"/>
        <v>7500</v>
      </c>
      <c r="T46" s="24">
        <f t="shared" si="32"/>
        <v>7500</v>
      </c>
      <c r="U46" s="24">
        <f t="shared" si="32"/>
        <v>7500</v>
      </c>
      <c r="V46" s="24">
        <f t="shared" si="32"/>
        <v>7500</v>
      </c>
      <c r="W46" s="24">
        <f t="shared" si="32"/>
        <v>7500</v>
      </c>
      <c r="X46" s="24">
        <f t="shared" si="32"/>
        <v>7500</v>
      </c>
      <c r="Y46" s="24">
        <f t="shared" si="32"/>
        <v>7500</v>
      </c>
      <c r="Z46" s="24">
        <f t="shared" si="32"/>
        <v>7500</v>
      </c>
      <c r="AA46" s="24">
        <f t="shared" si="32"/>
        <v>7500</v>
      </c>
      <c r="AB46" s="24">
        <f t="shared" si="32"/>
        <v>7500</v>
      </c>
      <c r="AC46" s="24">
        <f t="shared" si="32"/>
        <v>7500</v>
      </c>
      <c r="AD46" s="24">
        <f t="shared" si="32"/>
        <v>7500</v>
      </c>
      <c r="AE46" s="24">
        <f t="shared" si="32"/>
        <v>7500</v>
      </c>
      <c r="AF46" s="24">
        <f t="shared" si="32"/>
        <v>7500</v>
      </c>
      <c r="AG46" s="24">
        <f>AF46+AG42</f>
        <v>6540</v>
      </c>
      <c r="AH46" s="24">
        <f>AG46+AH42</f>
        <v>5580</v>
      </c>
    </row>
    <row r="47" spans="1:34" x14ac:dyDescent="0.25">
      <c r="A47" t="s">
        <v>71</v>
      </c>
      <c r="C47" s="54"/>
      <c r="D47" s="101">
        <f>+D45-C45</f>
        <v>583</v>
      </c>
      <c r="E47" s="102">
        <f t="shared" ref="E47:AH47" si="33">+E45-D45</f>
        <v>517</v>
      </c>
      <c r="F47" s="102">
        <f t="shared" si="33"/>
        <v>497</v>
      </c>
      <c r="G47" s="102">
        <f t="shared" si="33"/>
        <v>398</v>
      </c>
      <c r="H47" s="43">
        <f t="shared" si="33"/>
        <v>524</v>
      </c>
      <c r="I47" s="43">
        <f t="shared" si="33"/>
        <v>588</v>
      </c>
      <c r="J47" s="43">
        <f t="shared" si="33"/>
        <v>452</v>
      </c>
      <c r="K47" s="43">
        <f t="shared" si="33"/>
        <v>496</v>
      </c>
      <c r="L47" s="43">
        <f t="shared" si="33"/>
        <v>335</v>
      </c>
      <c r="M47" s="43">
        <f t="shared" si="33"/>
        <v>243.23327000000063</v>
      </c>
      <c r="N47" s="43">
        <f>+N45-M45</f>
        <v>246</v>
      </c>
      <c r="O47" s="157">
        <f>+O45-N45</f>
        <v>134.17740000000049</v>
      </c>
      <c r="P47" s="157">
        <f t="shared" si="33"/>
        <v>131.3233599999985</v>
      </c>
      <c r="Q47" s="168">
        <f>+Q45-P45</f>
        <v>21.090500000000247</v>
      </c>
      <c r="R47" s="182">
        <f t="shared" si="33"/>
        <v>-49.16418055000031</v>
      </c>
      <c r="S47" s="4">
        <f t="shared" si="33"/>
        <v>-172.2221382661246</v>
      </c>
      <c r="T47" s="4">
        <f t="shared" si="33"/>
        <v>-299.64190035447245</v>
      </c>
      <c r="U47" s="4">
        <f t="shared" si="33"/>
        <v>-431.3498351959297</v>
      </c>
      <c r="V47" s="4">
        <f t="shared" si="33"/>
        <v>-567.4953284662588</v>
      </c>
      <c r="W47" s="4">
        <f t="shared" si="33"/>
        <v>-708.23325150667188</v>
      </c>
      <c r="X47" s="4">
        <f t="shared" si="33"/>
        <v>-733.7241775069424</v>
      </c>
      <c r="Y47" s="4">
        <f t="shared" si="33"/>
        <v>-760.23460692436038</v>
      </c>
      <c r="Z47" s="4">
        <f t="shared" si="33"/>
        <v>-787.81045256485049</v>
      </c>
      <c r="AA47" s="4">
        <f t="shared" si="33"/>
        <v>-815.87075275395364</v>
      </c>
      <c r="AB47" s="4">
        <f t="shared" si="33"/>
        <v>-844.23803030407817</v>
      </c>
      <c r="AC47" s="4">
        <f t="shared" si="33"/>
        <v>-872.877453147496</v>
      </c>
      <c r="AD47" s="4">
        <f t="shared" si="33"/>
        <v>-902.02830529160065</v>
      </c>
      <c r="AE47" s="4">
        <f t="shared" si="33"/>
        <v>-932.14399123898465</v>
      </c>
      <c r="AF47" s="4">
        <f t="shared" si="33"/>
        <v>-960</v>
      </c>
      <c r="AG47" s="4">
        <f t="shared" si="33"/>
        <v>-63.790125928275756</v>
      </c>
      <c r="AH47" s="4">
        <f t="shared" si="33"/>
        <v>0</v>
      </c>
    </row>
    <row r="48" spans="1:34" x14ac:dyDescent="0.25">
      <c r="A48" t="s">
        <v>31</v>
      </c>
      <c r="C48" s="54"/>
      <c r="D48" s="54">
        <f>+D46-C46</f>
        <v>21</v>
      </c>
      <c r="E48" s="54">
        <f>+E46-D46</f>
        <v>24</v>
      </c>
      <c r="F48" s="54">
        <f>+F46-E46</f>
        <v>368</v>
      </c>
      <c r="G48" s="54">
        <f>+G46-F46</f>
        <v>300</v>
      </c>
      <c r="H48" s="59">
        <v>980</v>
      </c>
      <c r="I48">
        <v>349</v>
      </c>
      <c r="J48">
        <v>709</v>
      </c>
      <c r="K48">
        <f>IF(SUM($D48:J48)&lt;(7500-$C46),IF((10000*K6/1000+SUM($D48:J48))&lt;(7500-$C46),10000*K6/1000,7500-$C46-SUM($D48:J48)),0)</f>
        <v>18</v>
      </c>
      <c r="L48">
        <f>IF(SUM($D48:K48)&lt;(7500-$C46),IF((10000*L6/1000+SUM($D48:K48))&lt;(7500-$C46),10000*L6/1000,7500-$C46-SUM($D48:K48)),0)</f>
        <v>0</v>
      </c>
      <c r="M48">
        <f>IF(SUM($D48:L48)&lt;(7500-$C46),IF((10000*M6/1000+SUM($D48:L48))&lt;(7500-$C46),10000*M6/1000,7500-$C46-SUM($D48:L48)),0)</f>
        <v>0</v>
      </c>
      <c r="N48">
        <f>IF(SUM($D48:M48)&lt;(7500-$C46),IF((10000*N6/1000+SUM($D48:M48))&lt;(7500-$C46),10000*N6/1000,7500-$C46-SUM($D48:M48)),0)</f>
        <v>0</v>
      </c>
      <c r="O48">
        <f>IF(SUM($D48:N48)&lt;(7500-$C46),IF((10000*O6/1000+SUM($D48:N48))&lt;(7500-$C46),10000*O6/1000,7500-$C46-SUM($D48:N48)),0)</f>
        <v>0</v>
      </c>
      <c r="P48">
        <f>IF(SUM($D48:O48)&lt;(7500-$C46),IF((10000*P6/1000+SUM($D48:O48))&lt;(7500-$C46),10000*P6/1000,7500-$C46-SUM($D48:O48)),0)</f>
        <v>0</v>
      </c>
      <c r="Q48" s="161">
        <f>IF(SUM($D48:P48)&lt;(7500-$C46),IF((10000*Q6/1000+SUM($D48:P48))&lt;(7500-$C46),10000*Q6/1000,7500-$C46-SUM($D48:P48)),0)</f>
        <v>0</v>
      </c>
      <c r="R48" s="186">
        <f>IF(SUM($D48:Q48)&lt;(7500-$C46),IF((10000*R6/1000+SUM($D48:Q48))&lt;(7500-$C46),10000*R6/1000,7500-$C46-SUM($D48:Q48)),0)</f>
        <v>0</v>
      </c>
      <c r="S48">
        <f>IF(SUM($D48:R48)&lt;(7500-$C46),IF((10000*S6/1000+SUM($D48:R48))&lt;(7500-$C46),10000*S6/1000,7500-$C46-SUM($D48:R48)),0)</f>
        <v>0</v>
      </c>
      <c r="T48">
        <f>IF(SUM($D48:S48)&lt;(7500-$C46),IF((10000*T6/1000+SUM($D48:S48))&lt;(7500-$C46),10000*T6/1000,7500-$C46-SUM($D48:S48)),0)</f>
        <v>0</v>
      </c>
      <c r="U48">
        <f>IF(SUM($D48:T48)&lt;(7500-$C46),IF((10000*U6/1000+SUM($D48:T48))&lt;(7500-$C46),10000*U6/1000,7500-$C46-SUM($D48:T48)),0)</f>
        <v>0</v>
      </c>
      <c r="V48">
        <f>IF(SUM($D48:U48)&lt;(7500-$C46),IF((10000*V6/1000+SUM($D48:U48))&lt;(7500-$C46),10000*V6/1000,7500-$C46-SUM($D48:U48)),0)</f>
        <v>0</v>
      </c>
      <c r="W48">
        <f>IF(SUM($D48:V48)&lt;(7500-$C46),IF((10000*W6/1000+SUM($D48:V48))&lt;(7500-$C46),10000*W6/1000,7500-$C46-SUM($D48:V48)),0)</f>
        <v>0</v>
      </c>
      <c r="X48">
        <f>IF(SUM($D48:W48)&lt;(7500-$C46),IF((10000*X6/1000+SUM($D48:W48))&lt;(7500-$C46),10000*X6/1000,7500-$C46-SUM($D48:W48)),0)</f>
        <v>0</v>
      </c>
      <c r="Y48">
        <f>IF(SUM($D48:X48)&lt;(7500-$C46),IF((10000*Y6/1000+SUM($D48:X48))&lt;(7500-$C46),10000*Y6/1000,7500-$C46-SUM($D48:X48)),0)</f>
        <v>0</v>
      </c>
      <c r="Z48">
        <f>IF(SUM($D48:Y48)&lt;(7500-$C46),IF((10000*Z6/1000+SUM($D48:Y48))&lt;(7500-$C46),10000*Z6/1000,7500-$C46-SUM($D48:Y48)),0)</f>
        <v>0</v>
      </c>
      <c r="AA48">
        <f>IF(SUM($D48:Z48)&lt;(7500-$C46),IF((10000*AA6/1000+SUM($D48:Z48))&lt;(7500-$C46),10000*AA6/1000,7500-$C46-SUM($D48:Z48)),0)</f>
        <v>0</v>
      </c>
      <c r="AB48">
        <f>IF(SUM($D48:AA48)&lt;(7500-$C46),IF((10000*AB6/1000+SUM($D48:AA48))&lt;(7500-$C46),10000*AB6/1000,7500-$C46-SUM($D48:AA48)),0)</f>
        <v>0</v>
      </c>
      <c r="AC48">
        <f>IF(SUM($D48:AB48)&lt;(7500-$C46),IF((10000*AC6/1000+SUM($D48:AB48))&lt;(7500-$C46),10000*AC6/1000,7500-$C46-SUM($D48:AB48)),0)</f>
        <v>0</v>
      </c>
      <c r="AD48">
        <f>IF(SUM($D48:AC48)&lt;(7500-$C46),IF((10000*AD6/1000+SUM($D48:AC48))&lt;(7500-$C46),10000*AD6/1000,7500-$C46-SUM($D48:AC48)),0)</f>
        <v>0</v>
      </c>
      <c r="AE48">
        <f>IF(SUM($D48:AD48)&lt;(7500-$C46),IF((10000*AE6/1000+SUM($D48:AD48))&lt;(7500-$C46),10000*AE6/1000,7500-$C46-SUM($D48:AD48)),0)</f>
        <v>0</v>
      </c>
      <c r="AF48">
        <f>IF(SUM($D48:AE48)&lt;(7500-$C46),IF((10000*AF6/1000+SUM($D48:AE48))&lt;(7500-$C46),10000*AF6/1000,7500-$C46-SUM($D48:AE48)),0)</f>
        <v>0</v>
      </c>
      <c r="AG48">
        <f>IF(SUM($D48:AF48)&lt;(7500-$C46),IF((10000*AG6/1000+SUM($D48:AF48))&lt;(7500-$C46),10000*AG6/1000,7500-$C46-SUM($D48:AF48)),0)</f>
        <v>0</v>
      </c>
      <c r="AH48">
        <f>IF(SUM($D48:AG48)&lt;(7500-$C46),IF((10000*AH6/1000+SUM($D48:AG48))&lt;(7500-$C46),10000*AH6/1000,7500-$C46-SUM($D48:AG48)),0)</f>
        <v>0</v>
      </c>
    </row>
    <row r="49" spans="1:34" x14ac:dyDescent="0.25">
      <c r="A49" t="s">
        <v>55</v>
      </c>
      <c r="C49">
        <v>8</v>
      </c>
      <c r="D49" s="11">
        <v>8</v>
      </c>
      <c r="E49" s="11">
        <v>2</v>
      </c>
      <c r="F49" s="11">
        <v>33</v>
      </c>
      <c r="G49" s="11">
        <v>22</v>
      </c>
      <c r="H49">
        <v>42</v>
      </c>
      <c r="I49" s="11">
        <v>12</v>
      </c>
      <c r="J49" s="11">
        <v>1</v>
      </c>
      <c r="K49" s="11">
        <v>3</v>
      </c>
      <c r="L49" s="11">
        <v>2</v>
      </c>
      <c r="M49" s="11">
        <v>2</v>
      </c>
      <c r="N49" s="11">
        <f>N43</f>
        <v>87.434817000000294</v>
      </c>
      <c r="O49" s="11">
        <f>N49+O43</f>
        <v>341.13164699999948</v>
      </c>
      <c r="P49" s="11">
        <f>O49+P43</f>
        <v>201.18896000000001</v>
      </c>
      <c r="Q49" s="176">
        <f>P49+Q43</f>
        <v>175.5</v>
      </c>
      <c r="R49" s="198">
        <f>Q49+R43</f>
        <v>286.79093999999986</v>
      </c>
      <c r="S49" s="135">
        <f t="shared" ref="S49:AH49" si="34">R49+S43</f>
        <v>1031.3715224161247</v>
      </c>
      <c r="T49" s="135">
        <f t="shared" si="34"/>
        <v>1987.489217445097</v>
      </c>
      <c r="U49" s="135">
        <f t="shared" si="34"/>
        <v>3166.2182202357617</v>
      </c>
      <c r="V49" s="135">
        <f t="shared" si="34"/>
        <v>4579.2445759795974</v>
      </c>
      <c r="W49" s="135">
        <f t="shared" si="34"/>
        <v>6238.900771621973</v>
      </c>
      <c r="X49" s="135">
        <f t="shared" si="34"/>
        <v>8038.2022929401337</v>
      </c>
      <c r="Y49" s="135">
        <f t="shared" si="34"/>
        <v>9986.9862582191981</v>
      </c>
      <c r="Z49" s="135">
        <f t="shared" si="34"/>
        <v>12095.725496005643</v>
      </c>
      <c r="AA49" s="135">
        <f t="shared" si="34"/>
        <v>14345.900133092484</v>
      </c>
      <c r="AB49" s="135">
        <f t="shared" si="34"/>
        <v>16709.894882450437</v>
      </c>
      <c r="AC49" s="135">
        <f t="shared" si="34"/>
        <v>19157.991525045749</v>
      </c>
      <c r="AD49" s="135">
        <f t="shared" si="34"/>
        <v>21671.346785176444</v>
      </c>
      <c r="AE49" s="135">
        <f t="shared" si="34"/>
        <v>24251.730009350231</v>
      </c>
      <c r="AF49" s="135">
        <f t="shared" si="34"/>
        <v>26897.703200459877</v>
      </c>
      <c r="AG49" s="135">
        <f t="shared" si="34"/>
        <v>28686.039663947558</v>
      </c>
      <c r="AH49" s="135">
        <f t="shared" si="34"/>
        <v>30450.016191118128</v>
      </c>
    </row>
    <row r="50" spans="1:34" x14ac:dyDescent="0.25">
      <c r="A50" t="s">
        <v>56</v>
      </c>
      <c r="C50">
        <f t="shared" ref="C50:F50" si="35">+C49-B49</f>
        <v>8</v>
      </c>
      <c r="D50" s="11">
        <f t="shared" si="35"/>
        <v>0</v>
      </c>
      <c r="E50" s="11">
        <f t="shared" si="35"/>
        <v>-6</v>
      </c>
      <c r="F50" s="11">
        <f t="shared" si="35"/>
        <v>31</v>
      </c>
      <c r="G50" s="11">
        <f>+G49-F49</f>
        <v>-11</v>
      </c>
      <c r="H50" s="11">
        <f>+H49-G49</f>
        <v>20</v>
      </c>
      <c r="I50" s="11">
        <f t="shared" ref="I50:AH50" si="36">+I49-H49</f>
        <v>-30</v>
      </c>
      <c r="J50" s="11">
        <f t="shared" si="36"/>
        <v>-11</v>
      </c>
      <c r="K50" s="11">
        <f t="shared" si="36"/>
        <v>2</v>
      </c>
      <c r="L50" s="11">
        <f t="shared" si="36"/>
        <v>-1</v>
      </c>
      <c r="M50" s="11">
        <f t="shared" si="36"/>
        <v>0</v>
      </c>
      <c r="N50" s="11">
        <f>+N49-M49</f>
        <v>85.434817000000294</v>
      </c>
      <c r="O50" s="11">
        <f>+O49-N49</f>
        <v>253.69682999999918</v>
      </c>
      <c r="P50" s="11">
        <f>+P49-O49</f>
        <v>-139.94268699999947</v>
      </c>
      <c r="Q50" s="176">
        <f t="shared" si="36"/>
        <v>-25.688960000000009</v>
      </c>
      <c r="R50" s="198">
        <f>+R49-Q49</f>
        <v>111.29093999999986</v>
      </c>
      <c r="S50" s="11">
        <f t="shared" si="36"/>
        <v>744.5805824161248</v>
      </c>
      <c r="T50" s="11">
        <f t="shared" si="36"/>
        <v>956.11769502897232</v>
      </c>
      <c r="U50" s="11">
        <f t="shared" si="36"/>
        <v>1178.7290027906647</v>
      </c>
      <c r="V50" s="11">
        <f t="shared" si="36"/>
        <v>1413.0263557438357</v>
      </c>
      <c r="W50" s="11">
        <f t="shared" si="36"/>
        <v>1659.6561956423757</v>
      </c>
      <c r="X50" s="11">
        <f t="shared" si="36"/>
        <v>1799.3015213181607</v>
      </c>
      <c r="Y50" s="11">
        <f t="shared" si="36"/>
        <v>1948.7839652790644</v>
      </c>
      <c r="Z50" s="11">
        <f t="shared" si="36"/>
        <v>2108.7392377864453</v>
      </c>
      <c r="AA50" s="11">
        <f t="shared" si="36"/>
        <v>2250.1746370868404</v>
      </c>
      <c r="AB50" s="11">
        <f t="shared" si="36"/>
        <v>2363.994749357953</v>
      </c>
      <c r="AC50" s="11">
        <f t="shared" si="36"/>
        <v>2448.096642595312</v>
      </c>
      <c r="AD50" s="11">
        <f t="shared" si="36"/>
        <v>2513.3552601306947</v>
      </c>
      <c r="AE50" s="11">
        <f t="shared" si="36"/>
        <v>2580.3832241737873</v>
      </c>
      <c r="AF50" s="11">
        <f t="shared" si="36"/>
        <v>2645.973191109646</v>
      </c>
      <c r="AG50" s="11">
        <f t="shared" si="36"/>
        <v>1788.3364634876816</v>
      </c>
      <c r="AH50" s="11">
        <f t="shared" si="36"/>
        <v>1763.9765271705692</v>
      </c>
    </row>
    <row r="51" spans="1:34" x14ac:dyDescent="0.25">
      <c r="A51" s="6" t="s">
        <v>83</v>
      </c>
      <c r="D51" s="59"/>
      <c r="E51" s="59"/>
      <c r="F51" s="59"/>
      <c r="G51" s="59"/>
      <c r="H51" s="59"/>
      <c r="I51" s="59"/>
      <c r="N51" s="43"/>
    </row>
    <row r="73" spans="1:40" x14ac:dyDescent="0.25">
      <c r="C73" s="4"/>
    </row>
    <row r="74" spans="1:40" x14ac:dyDescent="0.25">
      <c r="G74" s="14">
        <f t="shared" ref="G74:AH74" si="37">G3</f>
        <v>2013</v>
      </c>
      <c r="H74" s="14">
        <f t="shared" si="37"/>
        <v>2014</v>
      </c>
      <c r="I74" s="14">
        <f t="shared" si="37"/>
        <v>2015</v>
      </c>
      <c r="J74" s="14">
        <f t="shared" si="37"/>
        <v>2016</v>
      </c>
      <c r="K74" s="14">
        <f t="shared" si="37"/>
        <v>2017</v>
      </c>
      <c r="L74" s="14">
        <f t="shared" si="37"/>
        <v>2018</v>
      </c>
      <c r="M74" s="14">
        <f t="shared" si="37"/>
        <v>2019</v>
      </c>
      <c r="N74" s="14">
        <f t="shared" si="37"/>
        <v>2020</v>
      </c>
      <c r="O74" s="14">
        <f t="shared" si="37"/>
        <v>2021</v>
      </c>
      <c r="P74" s="14">
        <f t="shared" si="37"/>
        <v>2022</v>
      </c>
      <c r="Q74" s="14">
        <f t="shared" si="37"/>
        <v>2023</v>
      </c>
      <c r="R74" s="14">
        <f t="shared" si="37"/>
        <v>2024</v>
      </c>
      <c r="S74" s="14">
        <f t="shared" si="37"/>
        <v>2025</v>
      </c>
      <c r="T74" s="14">
        <f t="shared" si="37"/>
        <v>2026</v>
      </c>
      <c r="U74" s="14">
        <f t="shared" si="37"/>
        <v>2027</v>
      </c>
      <c r="V74" s="14">
        <f t="shared" si="37"/>
        <v>2028</v>
      </c>
      <c r="W74" s="14">
        <f t="shared" si="37"/>
        <v>2029</v>
      </c>
      <c r="X74" s="14">
        <f t="shared" si="37"/>
        <v>2030</v>
      </c>
      <c r="Y74" s="14">
        <f t="shared" si="37"/>
        <v>2031</v>
      </c>
      <c r="Z74" s="14">
        <f t="shared" si="37"/>
        <v>2032</v>
      </c>
      <c r="AA74" s="14">
        <f t="shared" si="37"/>
        <v>2033</v>
      </c>
      <c r="AB74" s="14">
        <f t="shared" si="37"/>
        <v>2034</v>
      </c>
      <c r="AC74" s="14">
        <f t="shared" si="37"/>
        <v>2035</v>
      </c>
      <c r="AD74" s="14">
        <f t="shared" si="37"/>
        <v>2036</v>
      </c>
      <c r="AE74" s="14">
        <f t="shared" si="37"/>
        <v>2037</v>
      </c>
      <c r="AF74" s="14">
        <f t="shared" si="37"/>
        <v>2038</v>
      </c>
      <c r="AG74" s="14">
        <f t="shared" si="37"/>
        <v>2039</v>
      </c>
      <c r="AH74" s="14">
        <f t="shared" si="37"/>
        <v>2040</v>
      </c>
    </row>
    <row r="75" spans="1:40" x14ac:dyDescent="0.25">
      <c r="A75" t="s">
        <v>62</v>
      </c>
      <c r="C75" s="10">
        <f t="shared" ref="C75:AH75" si="38">+C34-C18+C24+C29</f>
        <v>-277</v>
      </c>
      <c r="D75" s="10">
        <f t="shared" si="38"/>
        <v>-186</v>
      </c>
      <c r="E75" s="10">
        <f t="shared" si="38"/>
        <v>-183</v>
      </c>
      <c r="F75" s="10">
        <f t="shared" si="38"/>
        <v>-158</v>
      </c>
      <c r="G75" s="10">
        <f t="shared" si="38"/>
        <v>-143</v>
      </c>
      <c r="H75" s="10">
        <f t="shared" si="38"/>
        <v>-112</v>
      </c>
      <c r="I75" s="10">
        <f t="shared" si="38"/>
        <v>-113</v>
      </c>
      <c r="J75" s="10">
        <f t="shared" si="38"/>
        <v>0</v>
      </c>
      <c r="K75" s="10">
        <f t="shared" si="38"/>
        <v>127</v>
      </c>
      <c r="L75" s="10">
        <f t="shared" si="38"/>
        <v>186</v>
      </c>
      <c r="M75" s="10">
        <f>+M34-M18+M24+M29</f>
        <v>181.32079000000056</v>
      </c>
      <c r="N75" s="10">
        <f t="shared" si="38"/>
        <v>246.90053000000029</v>
      </c>
      <c r="O75" s="10">
        <f t="shared" si="38"/>
        <v>246.6193999999997</v>
      </c>
      <c r="P75" s="10">
        <f t="shared" si="38"/>
        <v>211.7907799999999</v>
      </c>
      <c r="Q75" s="10">
        <f t="shared" si="38"/>
        <v>208.67199999999997</v>
      </c>
      <c r="R75" s="10">
        <f>+R34-R18+R24+R29</f>
        <v>298.08776999999986</v>
      </c>
      <c r="S75" s="10">
        <f t="shared" si="38"/>
        <v>376.68532710000022</v>
      </c>
      <c r="T75" s="10">
        <f t="shared" si="38"/>
        <v>477.24801651299987</v>
      </c>
      <c r="U75" s="10">
        <f t="shared" si="38"/>
        <v>586.51092244838992</v>
      </c>
      <c r="V75" s="10">
        <f t="shared" si="38"/>
        <v>705.08022966184126</v>
      </c>
      <c r="W75" s="10">
        <f t="shared" si="38"/>
        <v>833.60061793809678</v>
      </c>
      <c r="X75" s="10">
        <f t="shared" si="38"/>
        <v>972.75758494483011</v>
      </c>
      <c r="Y75" s="10">
        <f t="shared" si="38"/>
        <v>1123.2799047987085</v>
      </c>
      <c r="Z75" s="10">
        <f t="shared" si="38"/>
        <v>1285.9422300976692</v>
      </c>
      <c r="AA75" s="10">
        <f t="shared" si="38"/>
        <v>1422.8501444067895</v>
      </c>
      <c r="AB75" s="10">
        <f t="shared" si="38"/>
        <v>1522.1006063269954</v>
      </c>
      <c r="AC75" s="10">
        <f t="shared" si="38"/>
        <v>1580.9233162799073</v>
      </c>
      <c r="AD75" s="10">
        <f t="shared" si="38"/>
        <v>1613.4859353787595</v>
      </c>
      <c r="AE75" s="10">
        <f t="shared" si="38"/>
        <v>1646.6538060408379</v>
      </c>
      <c r="AF75" s="10">
        <f t="shared" si="38"/>
        <v>1680.4357951377972</v>
      </c>
      <c r="AG75" s="10">
        <f t="shared" si="38"/>
        <v>1714.840803280558</v>
      </c>
      <c r="AH75" s="10">
        <f t="shared" si="38"/>
        <v>1749.8777600248179</v>
      </c>
      <c r="AI75" s="10"/>
      <c r="AJ75" s="10"/>
      <c r="AK75" s="10"/>
      <c r="AL75" s="10"/>
      <c r="AM75" s="10"/>
      <c r="AN75" s="10"/>
    </row>
    <row r="76" spans="1:40" x14ac:dyDescent="0.25">
      <c r="A76" t="s">
        <v>63</v>
      </c>
      <c r="C76" s="90">
        <f t="shared" ref="C76:AH76" si="39">+C34-C75</f>
        <v>-310</v>
      </c>
      <c r="D76" s="90">
        <f t="shared" si="39"/>
        <v>-199</v>
      </c>
      <c r="E76" s="90">
        <f t="shared" si="39"/>
        <v>-71</v>
      </c>
      <c r="F76" s="90">
        <f t="shared" si="39"/>
        <v>-83</v>
      </c>
      <c r="G76" s="90">
        <f t="shared" si="39"/>
        <v>-73</v>
      </c>
      <c r="H76" s="90">
        <f t="shared" si="39"/>
        <v>-101</v>
      </c>
      <c r="I76" s="90">
        <f t="shared" si="39"/>
        <v>-162</v>
      </c>
      <c r="J76" s="90">
        <f t="shared" si="39"/>
        <v>-164</v>
      </c>
      <c r="K76" s="90">
        <f>+K34-K75</f>
        <v>-232</v>
      </c>
      <c r="L76" s="90">
        <f t="shared" si="39"/>
        <v>-180</v>
      </c>
      <c r="M76" s="90">
        <f>+M34-M75</f>
        <v>-129.12335000000041</v>
      </c>
      <c r="N76" s="90">
        <f t="shared" si="39"/>
        <v>41.534287000000006</v>
      </c>
      <c r="O76" s="90">
        <f>+O34-O75</f>
        <v>182.74383</v>
      </c>
      <c r="P76" s="90">
        <f>+P34-P75</f>
        <v>201.58676000000006</v>
      </c>
      <c r="Q76" s="90">
        <f t="shared" si="39"/>
        <v>399.67806999999999</v>
      </c>
      <c r="R76" s="90">
        <f>+R34-R75</f>
        <v>375.20317</v>
      </c>
      <c r="S76" s="90">
        <f t="shared" si="39"/>
        <v>386.45926510000004</v>
      </c>
      <c r="T76" s="90">
        <f t="shared" si="39"/>
        <v>398.05304305299995</v>
      </c>
      <c r="U76" s="90">
        <f t="shared" si="39"/>
        <v>409.99463434458994</v>
      </c>
      <c r="V76" s="90">
        <f t="shared" si="39"/>
        <v>422.29447337492775</v>
      </c>
      <c r="W76" s="90">
        <f t="shared" si="39"/>
        <v>434.96330757617557</v>
      </c>
      <c r="X76" s="90">
        <f t="shared" si="39"/>
        <v>448.01220680346091</v>
      </c>
      <c r="Y76" s="90">
        <f t="shared" si="39"/>
        <v>461.45257300756452</v>
      </c>
      <c r="Z76" s="90">
        <f t="shared" si="39"/>
        <v>475.29615019779135</v>
      </c>
      <c r="AA76" s="90">
        <f t="shared" si="39"/>
        <v>489.55503470372491</v>
      </c>
      <c r="AB76" s="90">
        <f t="shared" si="39"/>
        <v>504.24168574483679</v>
      </c>
      <c r="AC76" s="90">
        <f t="shared" si="39"/>
        <v>519.36893631718203</v>
      </c>
      <c r="AD76" s="90">
        <f t="shared" si="39"/>
        <v>534.95000440669742</v>
      </c>
      <c r="AE76" s="90">
        <f t="shared" si="39"/>
        <v>550.99850453889803</v>
      </c>
      <c r="AF76" s="90">
        <f t="shared" si="39"/>
        <v>567.52845967506505</v>
      </c>
      <c r="AG76" s="90">
        <f t="shared" si="39"/>
        <v>584.55431346531691</v>
      </c>
      <c r="AH76" s="90">
        <f t="shared" si="39"/>
        <v>602.09094286927643</v>
      </c>
      <c r="AI76" s="90"/>
      <c r="AJ76" s="90"/>
      <c r="AK76" s="90"/>
      <c r="AL76" s="90"/>
      <c r="AM76" s="90"/>
      <c r="AN76" s="90"/>
    </row>
    <row r="77" spans="1:40" x14ac:dyDescent="0.25">
      <c r="A77" t="s">
        <v>86</v>
      </c>
      <c r="C77" s="10">
        <f t="shared" ref="C77:AH77" si="40">+C75+C76</f>
        <v>-587</v>
      </c>
      <c r="D77" s="10">
        <f t="shared" si="40"/>
        <v>-385</v>
      </c>
      <c r="E77" s="10">
        <f t="shared" si="40"/>
        <v>-254</v>
      </c>
      <c r="F77" s="10">
        <f t="shared" si="40"/>
        <v>-241</v>
      </c>
      <c r="G77" s="10">
        <f t="shared" si="40"/>
        <v>-216</v>
      </c>
      <c r="H77" s="10">
        <f t="shared" si="40"/>
        <v>-213</v>
      </c>
      <c r="I77" s="10">
        <f t="shared" si="40"/>
        <v>-275</v>
      </c>
      <c r="J77" s="10">
        <f t="shared" si="40"/>
        <v>-164</v>
      </c>
      <c r="K77" s="10">
        <f t="shared" si="40"/>
        <v>-105</v>
      </c>
      <c r="L77" s="10">
        <f t="shared" si="40"/>
        <v>6</v>
      </c>
      <c r="M77" s="10">
        <f t="shared" si="40"/>
        <v>52.197440000000142</v>
      </c>
      <c r="N77" s="10">
        <f t="shared" si="40"/>
        <v>288.43481700000029</v>
      </c>
      <c r="O77" s="10">
        <f t="shared" si="40"/>
        <v>429.3632299999997</v>
      </c>
      <c r="P77" s="10">
        <f t="shared" si="40"/>
        <v>413.37753999999995</v>
      </c>
      <c r="Q77" s="10">
        <f t="shared" si="40"/>
        <v>608.35006999999996</v>
      </c>
      <c r="R77" s="10">
        <f>+R75+R76</f>
        <v>673.29093999999986</v>
      </c>
      <c r="S77" s="10">
        <f t="shared" si="40"/>
        <v>763.14459220000026</v>
      </c>
      <c r="T77" s="10">
        <f t="shared" si="40"/>
        <v>875.30105956599982</v>
      </c>
      <c r="U77" s="10">
        <f t="shared" si="40"/>
        <v>996.50555679297986</v>
      </c>
      <c r="V77" s="10">
        <f t="shared" si="40"/>
        <v>1127.374703036769</v>
      </c>
      <c r="W77" s="10">
        <f t="shared" si="40"/>
        <v>1268.5639255142723</v>
      </c>
      <c r="X77" s="10">
        <f t="shared" si="40"/>
        <v>1420.769791748291</v>
      </c>
      <c r="Y77" s="10">
        <f t="shared" si="40"/>
        <v>1584.732477806273</v>
      </c>
      <c r="Z77" s="10">
        <f t="shared" si="40"/>
        <v>1761.2383802954605</v>
      </c>
      <c r="AA77" s="10">
        <f t="shared" si="40"/>
        <v>1912.4051791105144</v>
      </c>
      <c r="AB77" s="10">
        <f t="shared" si="40"/>
        <v>2026.3422920718322</v>
      </c>
      <c r="AC77" s="10">
        <f t="shared" si="40"/>
        <v>2100.2922525970894</v>
      </c>
      <c r="AD77" s="10">
        <f t="shared" si="40"/>
        <v>2148.4359397854569</v>
      </c>
      <c r="AE77" s="10">
        <f t="shared" si="40"/>
        <v>2197.652310579736</v>
      </c>
      <c r="AF77" s="10">
        <f t="shared" si="40"/>
        <v>2247.9642548128622</v>
      </c>
      <c r="AG77" s="10">
        <f t="shared" si="40"/>
        <v>2299.3951167458749</v>
      </c>
      <c r="AH77" s="10">
        <f t="shared" si="40"/>
        <v>2351.9687028940943</v>
      </c>
      <c r="AI77" s="10"/>
      <c r="AJ77" s="10"/>
      <c r="AK77" s="10"/>
      <c r="AL77" s="10"/>
      <c r="AM77" s="10"/>
      <c r="AN77" s="10"/>
    </row>
    <row r="79" spans="1:40" x14ac:dyDescent="0.25">
      <c r="M79" s="10"/>
      <c r="N79" s="10"/>
      <c r="O79" s="10"/>
      <c r="P79" s="10"/>
    </row>
    <row r="80" spans="1:40" x14ac:dyDescent="0.25">
      <c r="F80" s="43"/>
      <c r="G80" s="43"/>
      <c r="H80" s="43"/>
      <c r="I80" s="43"/>
      <c r="J80" s="43"/>
      <c r="K80" s="43"/>
      <c r="L80" s="43"/>
      <c r="M80" s="43"/>
      <c r="N80" s="43"/>
      <c r="O80" s="43"/>
      <c r="P80" s="43"/>
      <c r="Q80" s="152"/>
      <c r="R80" s="43"/>
      <c r="S80" s="43"/>
      <c r="T80" s="43"/>
      <c r="U80" s="43"/>
      <c r="V80" s="43"/>
      <c r="W80" s="43"/>
      <c r="X80" s="43"/>
      <c r="Y80" s="43"/>
      <c r="Z80" s="43"/>
      <c r="AA80" s="43"/>
      <c r="AB80" s="43"/>
      <c r="AC80" s="43"/>
    </row>
    <row r="81" spans="4:29" x14ac:dyDescent="0.25">
      <c r="D81" s="59"/>
      <c r="E81" s="59"/>
      <c r="F81" s="4"/>
      <c r="G81" s="4"/>
      <c r="H81" s="4"/>
      <c r="I81" s="4"/>
      <c r="J81" s="4"/>
      <c r="K81" s="4"/>
      <c r="L81" s="4"/>
      <c r="M81" s="4"/>
      <c r="N81" s="4"/>
      <c r="O81" s="43"/>
      <c r="P81" s="43"/>
      <c r="Q81" s="153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</row>
    <row r="82" spans="4:29" x14ac:dyDescent="0.25">
      <c r="F82" s="59"/>
      <c r="G82" s="59"/>
      <c r="H82" s="59"/>
      <c r="I82" s="59"/>
      <c r="J82" s="59"/>
      <c r="K82" s="59"/>
      <c r="L82" s="59"/>
      <c r="M82" s="59"/>
      <c r="N82" s="59"/>
      <c r="O82" s="59"/>
      <c r="P82" s="59"/>
      <c r="Q82" s="154"/>
      <c r="R82" s="59"/>
      <c r="S82" s="59"/>
      <c r="T82" s="59"/>
      <c r="U82" s="59"/>
      <c r="V82" s="59"/>
      <c r="W82" s="59"/>
      <c r="X82" s="59"/>
      <c r="Y82" s="59"/>
      <c r="Z82" s="59"/>
      <c r="AA82" s="59"/>
      <c r="AB82" s="59"/>
      <c r="AC82" s="59"/>
    </row>
    <row r="86" spans="4:29" x14ac:dyDescent="0.25">
      <c r="H86" s="10"/>
      <c r="K86" s="111"/>
      <c r="L86" s="111"/>
      <c r="M86" s="111"/>
      <c r="N86" s="111"/>
      <c r="O86" s="111"/>
      <c r="P86" s="111"/>
      <c r="Q86" s="155"/>
      <c r="R86" s="111"/>
      <c r="S86" s="111"/>
      <c r="T86" s="111"/>
      <c r="U86" s="111"/>
      <c r="V86" s="111"/>
      <c r="W86" s="111"/>
      <c r="X86" s="111"/>
      <c r="Y86" s="111"/>
      <c r="Z86" s="111"/>
      <c r="AA86" s="111"/>
      <c r="AB86" s="111"/>
      <c r="AC86" s="111"/>
    </row>
    <row r="88" spans="4:29" x14ac:dyDescent="0.25">
      <c r="L88" s="103"/>
    </row>
    <row r="91" spans="4:29" x14ac:dyDescent="0.25">
      <c r="N91" s="10"/>
      <c r="O91" s="10"/>
      <c r="P91" s="10"/>
      <c r="Q91" s="128"/>
      <c r="R91" s="10"/>
      <c r="S91" s="10"/>
      <c r="T91" s="10"/>
      <c r="U91" s="10"/>
      <c r="V91" s="10"/>
      <c r="W91" s="10"/>
      <c r="X91" s="10"/>
      <c r="Y91" s="10"/>
      <c r="Z91" s="10"/>
      <c r="AA91" s="10"/>
      <c r="AB91" s="10"/>
      <c r="AC91" s="10"/>
    </row>
  </sheetData>
  <pageMargins left="0.25" right="0.25" top="0.25" bottom="0.25" header="0.3" footer="0.3"/>
  <pageSetup scale="50" orientation="landscape" r:id="rId1"/>
  <drawing r:id="rId2"/>
  <legacyDrawing r:id="rId3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022092-C4D2-4DBB-8EC1-831F0FB831EB}">
  <dimension ref="A1:AN91"/>
  <sheetViews>
    <sheetView tabSelected="1" workbookViewId="0">
      <pane xSplit="12" ySplit="3" topLeftCell="T4" activePane="bottomRight" state="frozen"/>
      <selection pane="topRight" activeCell="M1" sqref="M1"/>
      <selection pane="bottomLeft" activeCell="A4" sqref="A4"/>
      <selection pane="bottomRight" activeCell="A57" sqref="A57"/>
    </sheetView>
  </sheetViews>
  <sheetFormatPr defaultRowHeight="15" x14ac:dyDescent="0.25"/>
  <cols>
    <col min="1" max="1" width="42.7109375" bestFit="1" customWidth="1"/>
    <col min="2" max="2" width="3.7109375" customWidth="1"/>
    <col min="3" max="3" width="11.5703125" hidden="1" customWidth="1"/>
    <col min="4" max="4" width="9.5703125" hidden="1" customWidth="1"/>
    <col min="5" max="5" width="10.5703125" hidden="1" customWidth="1"/>
    <col min="6" max="6" width="10" hidden="1" customWidth="1"/>
    <col min="7" max="7" width="9.42578125" hidden="1" customWidth="1"/>
    <col min="8" max="10" width="8.5703125" hidden="1" customWidth="1"/>
    <col min="11" max="11" width="9.42578125" hidden="1" customWidth="1"/>
    <col min="12" max="12" width="8.5703125" hidden="1" customWidth="1"/>
    <col min="13" max="16" width="8.5703125" customWidth="1"/>
    <col min="17" max="18" width="8.5703125" style="50" customWidth="1"/>
    <col min="19" max="19" width="9.5703125" bestFit="1" customWidth="1"/>
    <col min="20" max="29" width="8.5703125" customWidth="1"/>
  </cols>
  <sheetData>
    <row r="1" spans="1:34" ht="23.25" customHeight="1" x14ac:dyDescent="0.4">
      <c r="A1" s="19" t="s">
        <v>22</v>
      </c>
      <c r="M1" s="50"/>
      <c r="N1" s="50"/>
      <c r="O1" s="50"/>
      <c r="P1" s="50"/>
    </row>
    <row r="2" spans="1:34" ht="18.75" x14ac:dyDescent="0.3">
      <c r="A2" s="20" t="s">
        <v>88</v>
      </c>
      <c r="G2" s="10"/>
      <c r="H2" s="79"/>
      <c r="I2" s="79"/>
      <c r="J2" s="79"/>
      <c r="K2" s="79"/>
      <c r="L2" s="79"/>
      <c r="N2" s="138"/>
      <c r="O2" s="156"/>
      <c r="P2" s="156"/>
      <c r="Q2" s="204"/>
      <c r="R2" s="165" t="s">
        <v>79</v>
      </c>
      <c r="S2" s="180" t="s">
        <v>57</v>
      </c>
    </row>
    <row r="3" spans="1:34" x14ac:dyDescent="0.25">
      <c r="A3" t="s">
        <v>28</v>
      </c>
      <c r="C3" s="14">
        <v>2009</v>
      </c>
      <c r="D3" s="14">
        <v>2010</v>
      </c>
      <c r="E3" s="14">
        <v>2011</v>
      </c>
      <c r="F3" s="14">
        <v>2012</v>
      </c>
      <c r="G3" s="14">
        <f t="shared" ref="G3:V3" si="0">+F3+1</f>
        <v>2013</v>
      </c>
      <c r="H3" s="14">
        <f t="shared" si="0"/>
        <v>2014</v>
      </c>
      <c r="I3" s="14">
        <f t="shared" si="0"/>
        <v>2015</v>
      </c>
      <c r="J3" s="14">
        <f t="shared" si="0"/>
        <v>2016</v>
      </c>
      <c r="K3" s="14">
        <f t="shared" si="0"/>
        <v>2017</v>
      </c>
      <c r="L3" s="14">
        <f t="shared" si="0"/>
        <v>2018</v>
      </c>
      <c r="M3" s="14">
        <f t="shared" si="0"/>
        <v>2019</v>
      </c>
      <c r="N3" s="14">
        <f t="shared" si="0"/>
        <v>2020</v>
      </c>
      <c r="O3" s="14">
        <f t="shared" si="0"/>
        <v>2021</v>
      </c>
      <c r="P3" s="14">
        <f t="shared" si="0"/>
        <v>2022</v>
      </c>
      <c r="Q3" s="177">
        <f t="shared" si="0"/>
        <v>2023</v>
      </c>
      <c r="R3" s="166">
        <f t="shared" si="0"/>
        <v>2024</v>
      </c>
      <c r="S3" s="181">
        <f t="shared" si="0"/>
        <v>2025</v>
      </c>
      <c r="T3" s="14">
        <f t="shared" si="0"/>
        <v>2026</v>
      </c>
      <c r="U3" s="14">
        <f t="shared" si="0"/>
        <v>2027</v>
      </c>
      <c r="V3" s="14">
        <f t="shared" si="0"/>
        <v>2028</v>
      </c>
      <c r="W3" s="14">
        <f>+V3+1</f>
        <v>2029</v>
      </c>
      <c r="X3" s="14">
        <f>+W3+1</f>
        <v>2030</v>
      </c>
      <c r="Y3" s="14">
        <f t="shared" ref="Y3:AH3" si="1">+X3+1</f>
        <v>2031</v>
      </c>
      <c r="Z3" s="14">
        <f t="shared" si="1"/>
        <v>2032</v>
      </c>
      <c r="AA3" s="14">
        <f t="shared" si="1"/>
        <v>2033</v>
      </c>
      <c r="AB3" s="14">
        <f t="shared" si="1"/>
        <v>2034</v>
      </c>
      <c r="AC3" s="14">
        <f t="shared" si="1"/>
        <v>2035</v>
      </c>
      <c r="AD3" s="14">
        <f t="shared" si="1"/>
        <v>2036</v>
      </c>
      <c r="AE3" s="14">
        <f t="shared" si="1"/>
        <v>2037</v>
      </c>
      <c r="AF3" s="14">
        <f t="shared" si="1"/>
        <v>2038</v>
      </c>
      <c r="AG3" s="14">
        <f t="shared" si="1"/>
        <v>2039</v>
      </c>
      <c r="AH3" s="14">
        <f t="shared" si="1"/>
        <v>2040</v>
      </c>
    </row>
    <row r="4" spans="1:34" x14ac:dyDescent="0.25">
      <c r="Q4" s="205"/>
      <c r="R4" s="161"/>
      <c r="S4" s="149"/>
    </row>
    <row r="5" spans="1:34" s="4" customFormat="1" x14ac:dyDescent="0.25">
      <c r="A5" s="104" t="s">
        <v>50</v>
      </c>
      <c r="C5" s="43">
        <v>332</v>
      </c>
      <c r="D5" s="43">
        <f>+C5+D6</f>
        <v>379</v>
      </c>
      <c r="E5" s="43">
        <f t="shared" ref="E5:AH5" si="2">+D5+E6</f>
        <v>424</v>
      </c>
      <c r="F5" s="43">
        <f t="shared" si="2"/>
        <v>468</v>
      </c>
      <c r="G5" s="43">
        <f t="shared" si="2"/>
        <v>510</v>
      </c>
      <c r="H5" s="43">
        <f t="shared" si="2"/>
        <v>544</v>
      </c>
      <c r="I5" s="43">
        <f t="shared" si="2"/>
        <v>581</v>
      </c>
      <c r="J5" s="43">
        <f t="shared" si="2"/>
        <v>615</v>
      </c>
      <c r="K5" s="43">
        <f t="shared" si="2"/>
        <v>671</v>
      </c>
      <c r="L5" s="43">
        <f t="shared" si="2"/>
        <v>717</v>
      </c>
      <c r="M5" s="43">
        <v>764</v>
      </c>
      <c r="N5">
        <v>820</v>
      </c>
      <c r="O5">
        <v>884</v>
      </c>
      <c r="P5">
        <v>937</v>
      </c>
      <c r="Q5" s="205">
        <v>979</v>
      </c>
      <c r="R5" s="161">
        <v>1035</v>
      </c>
      <c r="S5" s="182">
        <f>+R5+S6</f>
        <v>1070</v>
      </c>
      <c r="T5" s="4">
        <f t="shared" si="2"/>
        <v>1112</v>
      </c>
      <c r="U5" s="4">
        <f t="shared" si="2"/>
        <v>1154</v>
      </c>
      <c r="V5" s="4">
        <f t="shared" si="2"/>
        <v>1196</v>
      </c>
      <c r="W5" s="4">
        <f t="shared" si="2"/>
        <v>1238</v>
      </c>
      <c r="X5" s="4">
        <f t="shared" si="2"/>
        <v>1280</v>
      </c>
      <c r="Y5" s="4">
        <f t="shared" si="2"/>
        <v>1322</v>
      </c>
      <c r="Z5" s="4">
        <f t="shared" si="2"/>
        <v>1364</v>
      </c>
      <c r="AA5" s="4">
        <f t="shared" si="2"/>
        <v>1406</v>
      </c>
      <c r="AB5" s="4">
        <f t="shared" si="2"/>
        <v>1432</v>
      </c>
      <c r="AC5" s="4">
        <f t="shared" si="2"/>
        <v>1432</v>
      </c>
      <c r="AD5" s="4">
        <f t="shared" si="2"/>
        <v>1432</v>
      </c>
      <c r="AE5" s="4">
        <f t="shared" si="2"/>
        <v>1432</v>
      </c>
      <c r="AF5" s="4">
        <f t="shared" si="2"/>
        <v>1432</v>
      </c>
      <c r="AG5" s="4">
        <f t="shared" si="2"/>
        <v>1432</v>
      </c>
      <c r="AH5" s="4">
        <f t="shared" si="2"/>
        <v>1432</v>
      </c>
    </row>
    <row r="6" spans="1:34" x14ac:dyDescent="0.25">
      <c r="A6" s="1" t="s">
        <v>68</v>
      </c>
      <c r="D6" s="3">
        <v>47</v>
      </c>
      <c r="E6" s="3">
        <v>45</v>
      </c>
      <c r="F6" s="3">
        <v>44</v>
      </c>
      <c r="G6" s="3">
        <v>42</v>
      </c>
      <c r="H6" s="3">
        <v>34</v>
      </c>
      <c r="I6" s="3">
        <v>37</v>
      </c>
      <c r="J6" s="3">
        <v>34</v>
      </c>
      <c r="K6" s="3">
        <v>56</v>
      </c>
      <c r="L6" s="3">
        <v>46</v>
      </c>
      <c r="M6" s="3">
        <f>+M5-L5</f>
        <v>47</v>
      </c>
      <c r="N6" s="139">
        <f>N5-M5</f>
        <v>56</v>
      </c>
      <c r="O6" s="139">
        <f>O5-N5</f>
        <v>64</v>
      </c>
      <c r="P6" s="139">
        <f>P5-O5</f>
        <v>53</v>
      </c>
      <c r="Q6" s="206">
        <f>Q5-P5</f>
        <v>42</v>
      </c>
      <c r="R6" s="162">
        <f>R5-Q5</f>
        <v>56</v>
      </c>
      <c r="S6" s="183">
        <v>35</v>
      </c>
      <c r="T6" s="3">
        <v>42</v>
      </c>
      <c r="U6" s="3">
        <v>42</v>
      </c>
      <c r="V6" s="3">
        <v>42</v>
      </c>
      <c r="W6" s="3">
        <v>42</v>
      </c>
      <c r="X6" s="3">
        <v>42</v>
      </c>
      <c r="Y6" s="3">
        <v>42</v>
      </c>
      <c r="Z6" s="3">
        <v>42</v>
      </c>
      <c r="AA6" s="3">
        <v>42</v>
      </c>
      <c r="AB6" s="3">
        <v>26</v>
      </c>
      <c r="AC6" s="3">
        <v>0</v>
      </c>
      <c r="AD6" s="3">
        <v>0</v>
      </c>
      <c r="AE6" s="3">
        <v>0</v>
      </c>
      <c r="AF6" s="3">
        <v>0</v>
      </c>
      <c r="AG6" s="3">
        <v>0</v>
      </c>
      <c r="AH6" s="3">
        <v>0</v>
      </c>
    </row>
    <row r="7" spans="1:34" s="105" customFormat="1" x14ac:dyDescent="0.25">
      <c r="A7" s="105" t="s">
        <v>32</v>
      </c>
      <c r="D7" s="106">
        <f>+D8/C8-1</f>
        <v>9.8654708520179435E-2</v>
      </c>
      <c r="E7" s="106">
        <v>0</v>
      </c>
      <c r="F7" s="106">
        <v>0.05</v>
      </c>
      <c r="G7" s="106">
        <v>0.05</v>
      </c>
      <c r="H7" s="107">
        <v>0.05</v>
      </c>
      <c r="I7" s="107">
        <v>0.05</v>
      </c>
      <c r="J7" s="107">
        <v>0.05</v>
      </c>
      <c r="K7" s="107">
        <v>0</v>
      </c>
      <c r="L7" s="107">
        <v>0.05</v>
      </c>
      <c r="M7" s="107">
        <v>0.05</v>
      </c>
      <c r="N7" s="107">
        <f>+N8/M8-1</f>
        <v>4.9999999999999822E-2</v>
      </c>
      <c r="O7" s="107">
        <f t="shared" ref="O7:AH7" si="3">+O8/N8-1</f>
        <v>5.0000000000000044E-2</v>
      </c>
      <c r="P7" s="107">
        <f t="shared" si="3"/>
        <v>5.0000000000000044E-2</v>
      </c>
      <c r="Q7" s="107">
        <f t="shared" si="3"/>
        <v>5.0366252074842244E-2</v>
      </c>
      <c r="R7" s="108">
        <f t="shared" si="3"/>
        <v>5.0014344458257698E-2</v>
      </c>
      <c r="S7" s="109">
        <f t="shared" si="3"/>
        <v>5.0000000000000044E-2</v>
      </c>
      <c r="T7" s="110">
        <f t="shared" si="3"/>
        <v>5.0000000000000044E-2</v>
      </c>
      <c r="U7" s="110">
        <f t="shared" si="3"/>
        <v>5.0000000000000044E-2</v>
      </c>
      <c r="V7" s="110">
        <f t="shared" si="3"/>
        <v>5.0000000000000044E-2</v>
      </c>
      <c r="W7" s="110">
        <f t="shared" si="3"/>
        <v>5.0000000000000044E-2</v>
      </c>
      <c r="X7" s="110">
        <f t="shared" si="3"/>
        <v>5.0000000000000044E-2</v>
      </c>
      <c r="Y7" s="110">
        <f t="shared" si="3"/>
        <v>5.0000000000000044E-2</v>
      </c>
      <c r="Z7" s="110">
        <f t="shared" si="3"/>
        <v>5.0000000000000044E-2</v>
      </c>
      <c r="AA7" s="110">
        <f t="shared" si="3"/>
        <v>3.5343450553065647E-2</v>
      </c>
      <c r="AB7" s="110">
        <f t="shared" si="3"/>
        <v>2.5000000000000133E-2</v>
      </c>
      <c r="AC7" s="110">
        <f t="shared" si="3"/>
        <v>2.5000000000000133E-2</v>
      </c>
      <c r="AD7" s="110">
        <f t="shared" si="3"/>
        <v>2.4999999999999911E-2</v>
      </c>
      <c r="AE7" s="110">
        <f t="shared" si="3"/>
        <v>2.4999999999999911E-2</v>
      </c>
      <c r="AF7" s="110">
        <f t="shared" si="3"/>
        <v>2.4999999999999911E-2</v>
      </c>
      <c r="AG7" s="110">
        <f t="shared" si="3"/>
        <v>2.5000000000000133E-2</v>
      </c>
      <c r="AH7" s="110">
        <f t="shared" si="3"/>
        <v>2.4999999999999911E-2</v>
      </c>
    </row>
    <row r="8" spans="1:34" x14ac:dyDescent="0.25">
      <c r="A8" t="s">
        <v>3</v>
      </c>
      <c r="C8" s="3">
        <f>55.75*12</f>
        <v>669</v>
      </c>
      <c r="D8" s="3">
        <v>735</v>
      </c>
      <c r="E8" s="3">
        <v>735</v>
      </c>
      <c r="F8" s="121">
        <v>772</v>
      </c>
      <c r="G8" s="121">
        <v>810</v>
      </c>
      <c r="H8" s="122">
        <v>850</v>
      </c>
      <c r="I8" s="122">
        <v>892</v>
      </c>
      <c r="J8" s="122">
        <v>936</v>
      </c>
      <c r="K8" s="122">
        <v>936</v>
      </c>
      <c r="L8" s="122">
        <v>984</v>
      </c>
      <c r="M8" s="122">
        <v>1032</v>
      </c>
      <c r="N8" s="122">
        <v>1083.5999999999999</v>
      </c>
      <c r="O8" s="122">
        <f t="shared" ref="O8:AH8" si="4">IF(M45=0,N8,MIN(1.05*N8,1200*1.025^(O3-$F3)))</f>
        <v>1137.78</v>
      </c>
      <c r="P8" s="122">
        <f t="shared" si="4"/>
        <v>1194.6690000000001</v>
      </c>
      <c r="Q8" s="207">
        <v>1254.8399999999999</v>
      </c>
      <c r="R8" s="163">
        <v>1317.6</v>
      </c>
      <c r="S8" s="182">
        <f t="shared" si="4"/>
        <v>1383.48</v>
      </c>
      <c r="T8" s="4">
        <f t="shared" si="4"/>
        <v>1452.654</v>
      </c>
      <c r="U8" s="4">
        <f t="shared" si="4"/>
        <v>1525.2867000000001</v>
      </c>
      <c r="V8" s="4">
        <f t="shared" si="4"/>
        <v>1601.5510350000002</v>
      </c>
      <c r="W8" s="4">
        <f t="shared" si="4"/>
        <v>1681.6285867500003</v>
      </c>
      <c r="X8" s="4">
        <f t="shared" si="4"/>
        <v>1765.7100160875004</v>
      </c>
      <c r="Y8" s="4">
        <f t="shared" si="4"/>
        <v>1853.9955168918755</v>
      </c>
      <c r="Z8" s="4">
        <f t="shared" si="4"/>
        <v>1946.6952927364694</v>
      </c>
      <c r="AA8" s="4">
        <f t="shared" si="4"/>
        <v>2015.4982215571863</v>
      </c>
      <c r="AB8" s="4">
        <f t="shared" si="4"/>
        <v>2065.8856770961161</v>
      </c>
      <c r="AC8" s="4">
        <f t="shared" si="4"/>
        <v>2117.5328190235191</v>
      </c>
      <c r="AD8" s="4">
        <f t="shared" si="4"/>
        <v>2170.4711394991068</v>
      </c>
      <c r="AE8" s="4">
        <f t="shared" si="4"/>
        <v>2224.7329179865842</v>
      </c>
      <c r="AF8" s="4">
        <f t="shared" si="4"/>
        <v>2280.3512409362484</v>
      </c>
      <c r="AG8" s="4">
        <f t="shared" si="4"/>
        <v>2337.3600219596547</v>
      </c>
      <c r="AH8" s="4">
        <f t="shared" si="4"/>
        <v>2395.7940225086459</v>
      </c>
    </row>
    <row r="9" spans="1:34" x14ac:dyDescent="0.25">
      <c r="A9" t="s">
        <v>4</v>
      </c>
      <c r="E9" s="44"/>
      <c r="F9" s="51"/>
      <c r="G9" s="44"/>
      <c r="H9" s="44"/>
      <c r="I9" s="44"/>
      <c r="J9" s="51"/>
      <c r="K9" s="51"/>
      <c r="L9" s="51">
        <v>2.5000000000000001E-2</v>
      </c>
      <c r="M9" s="51">
        <f t="shared" ref="M9:AH9" si="5">+L9</f>
        <v>2.5000000000000001E-2</v>
      </c>
      <c r="N9" s="51">
        <f t="shared" si="5"/>
        <v>2.5000000000000001E-2</v>
      </c>
      <c r="O9" s="51">
        <f t="shared" si="5"/>
        <v>2.5000000000000001E-2</v>
      </c>
      <c r="P9" s="51">
        <v>0.06</v>
      </c>
      <c r="Q9" s="51">
        <v>0.05</v>
      </c>
      <c r="R9" s="97">
        <v>0.03</v>
      </c>
      <c r="S9" s="47">
        <f t="shared" si="5"/>
        <v>0.03</v>
      </c>
      <c r="T9" s="17">
        <f t="shared" si="5"/>
        <v>0.03</v>
      </c>
      <c r="U9" s="17">
        <f t="shared" si="5"/>
        <v>0.03</v>
      </c>
      <c r="V9" s="17">
        <f t="shared" si="5"/>
        <v>0.03</v>
      </c>
      <c r="W9" s="17">
        <f t="shared" si="5"/>
        <v>0.03</v>
      </c>
      <c r="X9" s="17">
        <f t="shared" si="5"/>
        <v>0.03</v>
      </c>
      <c r="Y9" s="17">
        <f t="shared" si="5"/>
        <v>0.03</v>
      </c>
      <c r="Z9" s="17">
        <f t="shared" si="5"/>
        <v>0.03</v>
      </c>
      <c r="AA9" s="17">
        <f t="shared" si="5"/>
        <v>0.03</v>
      </c>
      <c r="AB9" s="17">
        <f t="shared" si="5"/>
        <v>0.03</v>
      </c>
      <c r="AC9" s="17">
        <f t="shared" si="5"/>
        <v>0.03</v>
      </c>
      <c r="AD9" s="17">
        <f t="shared" si="5"/>
        <v>0.03</v>
      </c>
      <c r="AE9" s="17">
        <f t="shared" si="5"/>
        <v>0.03</v>
      </c>
      <c r="AF9" s="17">
        <f t="shared" si="5"/>
        <v>0.03</v>
      </c>
      <c r="AG9" s="17">
        <f t="shared" si="5"/>
        <v>0.03</v>
      </c>
      <c r="AH9" s="17">
        <f t="shared" si="5"/>
        <v>0.03</v>
      </c>
    </row>
    <row r="10" spans="1:34" s="192" customFormat="1" x14ac:dyDescent="0.25">
      <c r="A10" s="192" t="s">
        <v>24</v>
      </c>
      <c r="E10" s="193"/>
      <c r="F10" s="193"/>
      <c r="G10" s="193"/>
      <c r="H10" s="193"/>
      <c r="I10" s="193"/>
      <c r="J10" s="193"/>
      <c r="K10" s="193"/>
      <c r="L10" s="193">
        <v>0</v>
      </c>
      <c r="M10" s="193">
        <v>0</v>
      </c>
      <c r="N10" s="193">
        <v>0</v>
      </c>
      <c r="O10" s="193">
        <v>0</v>
      </c>
      <c r="P10" s="193">
        <v>0</v>
      </c>
      <c r="Q10" s="193">
        <v>0</v>
      </c>
      <c r="R10" s="194">
        <v>0</v>
      </c>
      <c r="S10" s="195">
        <v>0</v>
      </c>
      <c r="T10" s="196">
        <v>0</v>
      </c>
      <c r="U10" s="196">
        <v>0</v>
      </c>
      <c r="V10" s="196">
        <v>0</v>
      </c>
      <c r="W10" s="196">
        <v>0</v>
      </c>
      <c r="X10" s="196">
        <v>0</v>
      </c>
      <c r="Y10" s="196">
        <v>0</v>
      </c>
      <c r="Z10" s="196">
        <v>0</v>
      </c>
      <c r="AA10" s="196">
        <v>0</v>
      </c>
      <c r="AB10" s="196">
        <v>0</v>
      </c>
      <c r="AC10" s="196">
        <v>0</v>
      </c>
      <c r="AD10" s="196">
        <v>0</v>
      </c>
      <c r="AE10" s="196">
        <v>0</v>
      </c>
      <c r="AF10" s="196">
        <v>0</v>
      </c>
      <c r="AG10" s="196">
        <v>0</v>
      </c>
      <c r="AH10" s="196">
        <v>0</v>
      </c>
    </row>
    <row r="11" spans="1:34" x14ac:dyDescent="0.25">
      <c r="A11" t="s">
        <v>25</v>
      </c>
      <c r="D11" s="18">
        <v>4.2500000000000003E-2</v>
      </c>
      <c r="E11" s="46">
        <v>4.2500000000000003E-2</v>
      </c>
      <c r="F11" s="46">
        <v>4.2500000000000003E-2</v>
      </c>
      <c r="G11" s="46">
        <v>3.2500000000000001E-2</v>
      </c>
      <c r="H11" s="46">
        <v>3.2500000000000001E-2</v>
      </c>
      <c r="I11" s="46">
        <v>3.2500000000000001E-2</v>
      </c>
      <c r="J11" s="46">
        <v>3.2500000000000001E-2</v>
      </c>
      <c r="K11" s="46">
        <v>3.2500000000000001E-2</v>
      </c>
      <c r="L11" s="46">
        <v>3.2500000000000001E-2</v>
      </c>
      <c r="M11" s="46">
        <v>3.2500000000000001E-2</v>
      </c>
      <c r="N11" s="46">
        <v>3.2500000000000001E-2</v>
      </c>
      <c r="O11" s="46">
        <v>3.2500000000000001E-2</v>
      </c>
      <c r="P11" s="46">
        <v>3.2500000000000001E-2</v>
      </c>
      <c r="Q11" s="208">
        <v>3.2500000000000001E-2</v>
      </c>
      <c r="R11" s="190">
        <v>3.2500000000000001E-2</v>
      </c>
      <c r="S11" s="191">
        <v>3.2500000000000001E-2</v>
      </c>
      <c r="T11" s="18">
        <v>3.2500000000000001E-2</v>
      </c>
      <c r="U11" s="18">
        <v>3.2500000000000001E-2</v>
      </c>
      <c r="V11" s="18">
        <v>3.2500000000000001E-2</v>
      </c>
      <c r="W11" s="18">
        <v>3.2500000000000001E-2</v>
      </c>
      <c r="X11" s="18">
        <v>3.2500000000000001E-2</v>
      </c>
      <c r="Y11" s="18">
        <v>3.2500000000000001E-2</v>
      </c>
      <c r="Z11" s="18">
        <v>3.2500000000000001E-2</v>
      </c>
      <c r="AA11" s="18">
        <v>3.2500000000000001E-2</v>
      </c>
      <c r="AB11" s="18">
        <v>3.2500000000000001E-2</v>
      </c>
      <c r="AC11" s="18">
        <v>3.2500000000000001E-2</v>
      </c>
      <c r="AD11" s="18">
        <v>3.2500000000000001E-2</v>
      </c>
      <c r="AE11" s="18">
        <v>3.2500000000000001E-2</v>
      </c>
      <c r="AF11" s="18">
        <v>3.2500000000000001E-2</v>
      </c>
      <c r="AG11" s="18">
        <v>3.2500000000000001E-2</v>
      </c>
      <c r="AH11" s="18">
        <v>3.2500000000000001E-2</v>
      </c>
    </row>
    <row r="12" spans="1:34" x14ac:dyDescent="0.25">
      <c r="R12" s="144"/>
      <c r="S12" s="149"/>
    </row>
    <row r="13" spans="1:34" x14ac:dyDescent="0.25">
      <c r="A13" s="7" t="s">
        <v>41</v>
      </c>
      <c r="I13" s="58"/>
      <c r="K13" s="58"/>
      <c r="L13" s="58"/>
      <c r="M13" s="58"/>
      <c r="R13" s="144"/>
      <c r="S13" s="149"/>
    </row>
    <row r="14" spans="1:34" x14ac:dyDescent="0.25">
      <c r="A14" t="s">
        <v>2</v>
      </c>
      <c r="C14" s="3">
        <v>214</v>
      </c>
      <c r="D14" s="3">
        <v>267</v>
      </c>
      <c r="E14" s="3">
        <v>297</v>
      </c>
      <c r="F14" s="34">
        <v>348</v>
      </c>
      <c r="G14" s="34">
        <v>398</v>
      </c>
      <c r="H14" s="34">
        <v>447</v>
      </c>
      <c r="I14" s="3">
        <v>506</v>
      </c>
      <c r="J14" s="43">
        <v>562</v>
      </c>
      <c r="K14" s="43">
        <v>606</v>
      </c>
      <c r="L14" s="43">
        <v>680</v>
      </c>
      <c r="M14" s="43">
        <v>771.11131</v>
      </c>
      <c r="N14" s="43">
        <v>861.67862000000002</v>
      </c>
      <c r="O14" s="157">
        <v>973.96275000000003</v>
      </c>
      <c r="P14" s="157">
        <v>1103.1602600000001</v>
      </c>
      <c r="Q14" s="101">
        <v>1209.16786</v>
      </c>
      <c r="R14" s="168">
        <v>1325.3588999999999</v>
      </c>
      <c r="S14" s="182">
        <v>1432.3629599999999</v>
      </c>
      <c r="T14" s="4">
        <f t="shared" ref="T14:AH14" si="6">+(T5+S5)/2*T8/1000</f>
        <v>1584.8455139999999</v>
      </c>
      <c r="U14" s="4">
        <f t="shared" si="6"/>
        <v>1728.1498311</v>
      </c>
      <c r="V14" s="4">
        <f t="shared" si="6"/>
        <v>1881.8224661250003</v>
      </c>
      <c r="W14" s="4">
        <f t="shared" si="6"/>
        <v>2046.5419900747502</v>
      </c>
      <c r="X14" s="4">
        <f t="shared" si="6"/>
        <v>2223.0289102541633</v>
      </c>
      <c r="Y14" s="4">
        <f t="shared" si="6"/>
        <v>2412.04816747633</v>
      </c>
      <c r="Z14" s="4">
        <f t="shared" si="6"/>
        <v>2614.4117781450786</v>
      </c>
      <c r="AA14" s="4">
        <f t="shared" si="6"/>
        <v>2791.4650368567031</v>
      </c>
      <c r="AB14" s="4">
        <f t="shared" si="6"/>
        <v>2931.4917757993885</v>
      </c>
      <c r="AC14" s="4">
        <f t="shared" si="6"/>
        <v>3032.3069968416794</v>
      </c>
      <c r="AD14" s="4">
        <f t="shared" si="6"/>
        <v>3108.1146717627212</v>
      </c>
      <c r="AE14" s="4">
        <f t="shared" si="6"/>
        <v>3185.8175385567888</v>
      </c>
      <c r="AF14" s="4">
        <f t="shared" si="6"/>
        <v>3265.4629770207075</v>
      </c>
      <c r="AG14" s="4">
        <f t="shared" si="6"/>
        <v>3347.0995514462256</v>
      </c>
      <c r="AH14" s="4">
        <f t="shared" si="6"/>
        <v>3430.7770402323808</v>
      </c>
    </row>
    <row r="15" spans="1:34" x14ac:dyDescent="0.25">
      <c r="A15" t="s">
        <v>5</v>
      </c>
      <c r="C15" s="3">
        <v>5</v>
      </c>
      <c r="D15" s="3">
        <v>5</v>
      </c>
      <c r="E15" s="3">
        <v>5</v>
      </c>
      <c r="F15" s="34">
        <v>5</v>
      </c>
      <c r="G15" s="34">
        <v>5</v>
      </c>
      <c r="H15" s="34">
        <v>5</v>
      </c>
      <c r="I15" s="3">
        <v>5</v>
      </c>
      <c r="J15" s="43">
        <v>6</v>
      </c>
      <c r="K15" s="43">
        <v>0</v>
      </c>
      <c r="L15" s="43">
        <f t="shared" ref="L15:AA16" si="7">+K15*(1+L$9)</f>
        <v>0</v>
      </c>
      <c r="M15" s="43">
        <f t="shared" si="7"/>
        <v>0</v>
      </c>
      <c r="N15" s="43">
        <f t="shared" si="7"/>
        <v>0</v>
      </c>
      <c r="O15" s="152">
        <f t="shared" si="7"/>
        <v>0</v>
      </c>
      <c r="P15" s="152">
        <f t="shared" si="7"/>
        <v>0</v>
      </c>
      <c r="Q15" s="101">
        <f t="shared" si="7"/>
        <v>0</v>
      </c>
      <c r="R15" s="168">
        <f t="shared" si="7"/>
        <v>0</v>
      </c>
      <c r="S15" s="182">
        <v>0</v>
      </c>
      <c r="T15" s="4">
        <f t="shared" si="7"/>
        <v>0</v>
      </c>
      <c r="U15" s="4">
        <f t="shared" si="7"/>
        <v>0</v>
      </c>
      <c r="V15" s="4">
        <f t="shared" si="7"/>
        <v>0</v>
      </c>
      <c r="W15" s="4">
        <f t="shared" si="7"/>
        <v>0</v>
      </c>
      <c r="X15" s="4">
        <f t="shared" si="7"/>
        <v>0</v>
      </c>
      <c r="Y15" s="4">
        <f t="shared" si="7"/>
        <v>0</v>
      </c>
      <c r="Z15" s="4">
        <f t="shared" si="7"/>
        <v>0</v>
      </c>
      <c r="AA15" s="4">
        <f t="shared" si="7"/>
        <v>0</v>
      </c>
      <c r="AB15" s="4">
        <f t="shared" ref="AB15:AH16" si="8">+AA15*(1+AB$9)</f>
        <v>0</v>
      </c>
      <c r="AC15" s="4">
        <f t="shared" si="8"/>
        <v>0</v>
      </c>
      <c r="AD15" s="4">
        <f t="shared" si="8"/>
        <v>0</v>
      </c>
      <c r="AE15" s="4">
        <f t="shared" si="8"/>
        <v>0</v>
      </c>
      <c r="AF15" s="4">
        <f t="shared" si="8"/>
        <v>0</v>
      </c>
      <c r="AG15" s="4">
        <f t="shared" si="8"/>
        <v>0</v>
      </c>
      <c r="AH15" s="4">
        <f t="shared" si="8"/>
        <v>0</v>
      </c>
    </row>
    <row r="16" spans="1:34" x14ac:dyDescent="0.25">
      <c r="A16" t="s">
        <v>39</v>
      </c>
      <c r="C16" s="3">
        <v>4</v>
      </c>
      <c r="D16" s="3">
        <v>3</v>
      </c>
      <c r="E16" s="3">
        <v>20</v>
      </c>
      <c r="F16" s="34">
        <v>5</v>
      </c>
      <c r="G16" s="34">
        <v>5</v>
      </c>
      <c r="H16" s="34">
        <v>5</v>
      </c>
      <c r="I16" s="3">
        <v>13</v>
      </c>
      <c r="J16" s="43">
        <v>23</v>
      </c>
      <c r="K16" s="43">
        <v>30</v>
      </c>
      <c r="L16" s="43">
        <v>49</v>
      </c>
      <c r="M16" s="43">
        <v>23.773009999999999</v>
      </c>
      <c r="N16" s="43">
        <v>27.802</v>
      </c>
      <c r="O16" s="157">
        <f>0.42384+24.70509-0.62566+0.32</f>
        <v>24.823269999999997</v>
      </c>
      <c r="P16" s="157">
        <v>34.783790000000003</v>
      </c>
      <c r="Q16" s="101">
        <v>25.322900000000001</v>
      </c>
      <c r="R16" s="168">
        <v>36.46931</v>
      </c>
      <c r="S16" s="182">
        <v>24.11</v>
      </c>
      <c r="T16" s="4">
        <f t="shared" si="7"/>
        <v>24.833300000000001</v>
      </c>
      <c r="U16" s="4">
        <f t="shared" si="7"/>
        <v>25.578299000000001</v>
      </c>
      <c r="V16" s="4">
        <f t="shared" si="7"/>
        <v>26.345647970000002</v>
      </c>
      <c r="W16" s="4">
        <f t="shared" si="7"/>
        <v>27.136017409100003</v>
      </c>
      <c r="X16" s="4">
        <f t="shared" si="7"/>
        <v>27.950097931373005</v>
      </c>
      <c r="Y16" s="4">
        <f t="shared" si="7"/>
        <v>28.788600869314195</v>
      </c>
      <c r="Z16" s="4">
        <f t="shared" si="7"/>
        <v>29.652258895393622</v>
      </c>
      <c r="AA16" s="4">
        <f t="shared" si="7"/>
        <v>30.541826662255431</v>
      </c>
      <c r="AB16" s="4">
        <f t="shared" si="8"/>
        <v>31.458081462123094</v>
      </c>
      <c r="AC16" s="4">
        <f t="shared" si="8"/>
        <v>32.401823905986788</v>
      </c>
      <c r="AD16" s="4">
        <f t="shared" si="8"/>
        <v>33.373878623166391</v>
      </c>
      <c r="AE16" s="4">
        <f t="shared" si="8"/>
        <v>34.37509498186138</v>
      </c>
      <c r="AF16" s="4">
        <f t="shared" si="8"/>
        <v>35.40634783131722</v>
      </c>
      <c r="AG16" s="4">
        <f t="shared" si="8"/>
        <v>36.468538266256736</v>
      </c>
      <c r="AH16" s="4">
        <f t="shared" si="8"/>
        <v>37.562594414244437</v>
      </c>
    </row>
    <row r="17" spans="1:34" x14ac:dyDescent="0.25">
      <c r="A17" t="s">
        <v>6</v>
      </c>
      <c r="C17" s="34">
        <v>0</v>
      </c>
      <c r="D17" s="34">
        <v>0</v>
      </c>
      <c r="E17" s="34">
        <v>0</v>
      </c>
      <c r="F17" s="34">
        <v>0</v>
      </c>
      <c r="G17" s="34">
        <v>0</v>
      </c>
      <c r="H17" s="95">
        <v>0</v>
      </c>
      <c r="I17" s="3">
        <v>0</v>
      </c>
      <c r="J17" s="43">
        <v>0</v>
      </c>
      <c r="K17" s="43">
        <v>0</v>
      </c>
      <c r="L17" s="43">
        <v>0</v>
      </c>
      <c r="M17" s="43">
        <v>0</v>
      </c>
      <c r="N17" s="43">
        <v>0</v>
      </c>
      <c r="O17" s="157">
        <f>-14.3341-1.15264</f>
        <v>-15.486739999999999</v>
      </c>
      <c r="P17" s="157">
        <v>0</v>
      </c>
      <c r="Q17" s="152">
        <v>0</v>
      </c>
      <c r="R17" s="142"/>
      <c r="S17" s="188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4">
        <v>0</v>
      </c>
      <c r="AA17" s="4">
        <v>0</v>
      </c>
      <c r="AB17" s="4">
        <v>0</v>
      </c>
      <c r="AC17" s="4">
        <v>0</v>
      </c>
      <c r="AD17" s="4">
        <v>0</v>
      </c>
      <c r="AE17" s="4">
        <v>0</v>
      </c>
      <c r="AF17" s="4">
        <v>0</v>
      </c>
      <c r="AG17" s="4">
        <v>0</v>
      </c>
      <c r="AH17" s="4">
        <v>0</v>
      </c>
    </row>
    <row r="18" spans="1:34" x14ac:dyDescent="0.25">
      <c r="A18" t="s">
        <v>87</v>
      </c>
      <c r="C18" s="3">
        <f>940-77-359</f>
        <v>504</v>
      </c>
      <c r="D18" s="3">
        <v>580</v>
      </c>
      <c r="E18" s="3">
        <v>672</v>
      </c>
      <c r="F18" s="52">
        <v>696</v>
      </c>
      <c r="G18" s="52">
        <v>717</v>
      </c>
      <c r="H18" s="8">
        <v>669</v>
      </c>
      <c r="I18" s="10">
        <v>592</v>
      </c>
      <c r="J18" s="10">
        <v>573</v>
      </c>
      <c r="K18" s="10">
        <v>544</v>
      </c>
      <c r="L18" s="10">
        <v>583</v>
      </c>
      <c r="M18" s="10">
        <v>645.65287999999953</v>
      </c>
      <c r="N18" s="10">
        <v>721.51774699999999</v>
      </c>
      <c r="O18" s="10">
        <v>962.26874999999995</v>
      </c>
      <c r="P18" s="10">
        <v>1108.4684999999999</v>
      </c>
      <c r="Q18" s="178">
        <v>1368.50107</v>
      </c>
      <c r="R18" s="169">
        <v>1701.4018900000001</v>
      </c>
      <c r="S18" s="199">
        <v>1712.22918</v>
      </c>
      <c r="T18" s="10">
        <f t="shared" ref="T18:AH18" si="9">S18*(1+T9)</f>
        <v>1763.5960554000001</v>
      </c>
      <c r="U18" s="10">
        <f t="shared" si="9"/>
        <v>1816.5039370620002</v>
      </c>
      <c r="V18" s="10">
        <f t="shared" si="9"/>
        <v>1870.9990551738604</v>
      </c>
      <c r="W18" s="10">
        <f t="shared" si="9"/>
        <v>1927.1290268290763</v>
      </c>
      <c r="X18" s="10">
        <f t="shared" si="9"/>
        <v>1984.9428976339486</v>
      </c>
      <c r="Y18" s="10">
        <f t="shared" si="9"/>
        <v>2044.4911845629672</v>
      </c>
      <c r="Z18" s="10">
        <f t="shared" si="9"/>
        <v>2105.8259200998564</v>
      </c>
      <c r="AA18" s="10">
        <f t="shared" si="9"/>
        <v>2169.000697702852</v>
      </c>
      <c r="AB18" s="10">
        <f t="shared" si="9"/>
        <v>2234.0707186339378</v>
      </c>
      <c r="AC18" s="10">
        <f t="shared" si="9"/>
        <v>2301.0928401929559</v>
      </c>
      <c r="AD18" s="10">
        <f t="shared" si="9"/>
        <v>2370.1256253987444</v>
      </c>
      <c r="AE18" s="10">
        <f t="shared" si="9"/>
        <v>2441.2293941607068</v>
      </c>
      <c r="AF18" s="10">
        <f t="shared" si="9"/>
        <v>2514.4662759855282</v>
      </c>
      <c r="AG18" s="10">
        <f t="shared" si="9"/>
        <v>2589.9002642650939</v>
      </c>
      <c r="AH18" s="10">
        <f t="shared" si="9"/>
        <v>2667.597272193047</v>
      </c>
    </row>
    <row r="19" spans="1:34" x14ac:dyDescent="0.25">
      <c r="A19" t="s">
        <v>10</v>
      </c>
      <c r="C19" s="8">
        <v>22</v>
      </c>
      <c r="D19" s="8">
        <v>14</v>
      </c>
      <c r="E19" s="8">
        <v>31</v>
      </c>
      <c r="F19" s="8">
        <v>15</v>
      </c>
      <c r="G19" s="8">
        <v>18</v>
      </c>
      <c r="H19" s="8">
        <v>10</v>
      </c>
      <c r="I19" s="8">
        <v>30</v>
      </c>
      <c r="J19" s="8">
        <v>38</v>
      </c>
      <c r="K19" s="100">
        <v>31</v>
      </c>
      <c r="L19" s="100">
        <v>40</v>
      </c>
      <c r="M19" s="100">
        <v>57.382570000000122</v>
      </c>
      <c r="N19" s="100">
        <v>-2.6967100000000208</v>
      </c>
      <c r="O19" s="158">
        <v>-7.7837800000000001</v>
      </c>
      <c r="P19" s="158">
        <v>16.64461</v>
      </c>
      <c r="Q19" s="209">
        <v>13.98166</v>
      </c>
      <c r="R19" s="170">
        <v>-67.235289999999907</v>
      </c>
      <c r="S19" s="187">
        <v>-16.230599999999999</v>
      </c>
      <c r="T19" s="9">
        <f t="shared" ref="T19:AH19" si="10">+S19*(1+T$9)</f>
        <v>-16.717517999999998</v>
      </c>
      <c r="U19" s="9">
        <f t="shared" si="10"/>
        <v>-17.219043539999998</v>
      </c>
      <c r="V19" s="9">
        <f t="shared" si="10"/>
        <v>-17.735614846199997</v>
      </c>
      <c r="W19" s="9">
        <f t="shared" si="10"/>
        <v>-18.267683291585996</v>
      </c>
      <c r="X19" s="9">
        <f t="shared" si="10"/>
        <v>-18.815713790333575</v>
      </c>
      <c r="Y19" s="9">
        <f t="shared" si="10"/>
        <v>-19.380185204043585</v>
      </c>
      <c r="Z19" s="9">
        <f t="shared" si="10"/>
        <v>-19.961590760164892</v>
      </c>
      <c r="AA19" s="9">
        <f t="shared" si="10"/>
        <v>-20.56043848296984</v>
      </c>
      <c r="AB19" s="9">
        <f t="shared" si="10"/>
        <v>-21.177251637458934</v>
      </c>
      <c r="AC19" s="9">
        <f t="shared" si="10"/>
        <v>-21.812569186582703</v>
      </c>
      <c r="AD19" s="9">
        <f t="shared" si="10"/>
        <v>-22.466946262180183</v>
      </c>
      <c r="AE19" s="9">
        <f t="shared" si="10"/>
        <v>-23.14095465004559</v>
      </c>
      <c r="AF19" s="9">
        <f t="shared" si="10"/>
        <v>-23.835183289546958</v>
      </c>
      <c r="AG19" s="9">
        <f t="shared" si="10"/>
        <v>-24.550238788233369</v>
      </c>
      <c r="AH19" s="9">
        <f t="shared" si="10"/>
        <v>-25.28674595188037</v>
      </c>
    </row>
    <row r="20" spans="1:34" x14ac:dyDescent="0.25">
      <c r="A20" s="6" t="s">
        <v>43</v>
      </c>
      <c r="C20" s="13">
        <f>SUM(C14:C18)</f>
        <v>727</v>
      </c>
      <c r="D20" s="35">
        <f t="shared" ref="D20:AH20" si="11">SUM(D14:D18)</f>
        <v>855</v>
      </c>
      <c r="E20" s="35">
        <f t="shared" si="11"/>
        <v>994</v>
      </c>
      <c r="F20" s="35">
        <f t="shared" si="11"/>
        <v>1054</v>
      </c>
      <c r="G20" s="35">
        <f t="shared" si="11"/>
        <v>1125</v>
      </c>
      <c r="H20" s="35">
        <f t="shared" si="11"/>
        <v>1126</v>
      </c>
      <c r="I20" s="35">
        <f t="shared" si="11"/>
        <v>1116</v>
      </c>
      <c r="J20" s="35">
        <f t="shared" si="11"/>
        <v>1164</v>
      </c>
      <c r="K20" s="35">
        <f t="shared" ref="K20:P20" si="12">SUM(K14:K19)</f>
        <v>1211</v>
      </c>
      <c r="L20" s="35">
        <f t="shared" si="12"/>
        <v>1352</v>
      </c>
      <c r="M20" s="210">
        <f t="shared" si="12"/>
        <v>1497.9197699999997</v>
      </c>
      <c r="N20" s="210">
        <f t="shared" si="12"/>
        <v>1608.3016570000002</v>
      </c>
      <c r="O20" s="210">
        <f t="shared" si="12"/>
        <v>1937.7842499999999</v>
      </c>
      <c r="P20" s="210">
        <f t="shared" si="12"/>
        <v>2263.0571599999998</v>
      </c>
      <c r="Q20" s="210">
        <f>SUM(Q14:Q19)</f>
        <v>2616.9734899999999</v>
      </c>
      <c r="R20" s="171">
        <f>SUM(R14:R19)</f>
        <v>2995.9948099999997</v>
      </c>
      <c r="S20" s="200">
        <f t="shared" si="11"/>
        <v>3168.7021399999999</v>
      </c>
      <c r="T20" s="13">
        <f t="shared" si="11"/>
        <v>3373.2748694000002</v>
      </c>
      <c r="U20" s="13">
        <f t="shared" si="11"/>
        <v>3570.232067162</v>
      </c>
      <c r="V20" s="13">
        <f t="shared" si="11"/>
        <v>3779.1671692688606</v>
      </c>
      <c r="W20" s="13">
        <f t="shared" si="11"/>
        <v>4000.8070343129266</v>
      </c>
      <c r="X20" s="13">
        <f t="shared" si="11"/>
        <v>4235.9219058194849</v>
      </c>
      <c r="Y20" s="13">
        <f t="shared" si="11"/>
        <v>4485.3279529086112</v>
      </c>
      <c r="Z20" s="13">
        <f t="shared" si="11"/>
        <v>4749.889957140329</v>
      </c>
      <c r="AA20" s="13">
        <f t="shared" si="11"/>
        <v>4991.0075612218106</v>
      </c>
      <c r="AB20" s="13">
        <f t="shared" si="11"/>
        <v>5197.0205758954489</v>
      </c>
      <c r="AC20" s="13">
        <f t="shared" si="11"/>
        <v>5365.8016609406222</v>
      </c>
      <c r="AD20" s="13">
        <f t="shared" si="11"/>
        <v>5511.6141757846326</v>
      </c>
      <c r="AE20" s="13">
        <f t="shared" si="11"/>
        <v>5661.4220276993565</v>
      </c>
      <c r="AF20" s="13">
        <f t="shared" si="11"/>
        <v>5815.3356008375531</v>
      </c>
      <c r="AG20" s="13">
        <f t="shared" si="11"/>
        <v>5973.468353977576</v>
      </c>
      <c r="AH20" s="13">
        <f t="shared" si="11"/>
        <v>6135.9369068396718</v>
      </c>
    </row>
    <row r="21" spans="1:34" x14ac:dyDescent="0.25">
      <c r="A21" s="56" t="s">
        <v>53</v>
      </c>
      <c r="D21" s="55">
        <f>+D20/C20-1</f>
        <v>0.17606602475928468</v>
      </c>
      <c r="E21" s="55">
        <f t="shared" ref="E21:AH21" si="13">+E20/D20-1</f>
        <v>0.16257309941520459</v>
      </c>
      <c r="F21" s="55">
        <f t="shared" si="13"/>
        <v>6.0362173038229328E-2</v>
      </c>
      <c r="G21" s="55">
        <f t="shared" si="13"/>
        <v>6.7362428842504762E-2</v>
      </c>
      <c r="H21" s="55">
        <f t="shared" si="13"/>
        <v>8.8888888888893902E-4</v>
      </c>
      <c r="I21" s="55">
        <f t="shared" si="13"/>
        <v>-8.8809946714032417E-3</v>
      </c>
      <c r="J21" s="55">
        <f t="shared" si="13"/>
        <v>4.3010752688172005E-2</v>
      </c>
      <c r="K21" s="55">
        <f t="shared" si="13"/>
        <v>4.0378006872852312E-2</v>
      </c>
      <c r="L21" s="55">
        <f t="shared" si="13"/>
        <v>0.11643270024772923</v>
      </c>
      <c r="M21" s="55">
        <f t="shared" si="13"/>
        <v>0.10792882396449688</v>
      </c>
      <c r="N21" s="55">
        <f t="shared" si="13"/>
        <v>7.3690119598328385E-2</v>
      </c>
      <c r="O21" s="55">
        <f t="shared" si="13"/>
        <v>0.20486367813273954</v>
      </c>
      <c r="P21" s="55">
        <f t="shared" si="13"/>
        <v>0.16785816584070168</v>
      </c>
      <c r="Q21" s="211">
        <f>+Q20/P20-1</f>
        <v>0.15638859515152514</v>
      </c>
      <c r="R21" s="172">
        <f t="shared" si="13"/>
        <v>0.14483192949730639</v>
      </c>
      <c r="S21" s="197">
        <f t="shared" si="13"/>
        <v>5.7646071155911027E-2</v>
      </c>
      <c r="T21" s="55">
        <f t="shared" si="13"/>
        <v>6.4560416334998427E-2</v>
      </c>
      <c r="U21" s="55">
        <f t="shared" si="13"/>
        <v>5.8387533002026704E-2</v>
      </c>
      <c r="V21" s="55">
        <f t="shared" si="13"/>
        <v>5.8521434510822923E-2</v>
      </c>
      <c r="W21" s="55">
        <f t="shared" si="13"/>
        <v>5.8647806544886327E-2</v>
      </c>
      <c r="X21" s="55">
        <f t="shared" si="13"/>
        <v>5.8766861158285222E-2</v>
      </c>
      <c r="Y21" s="55">
        <f t="shared" si="13"/>
        <v>5.8878811421542387E-2</v>
      </c>
      <c r="Z21" s="55">
        <f t="shared" si="13"/>
        <v>5.8983870746877498E-2</v>
      </c>
      <c r="AA21" s="55">
        <f t="shared" si="13"/>
        <v>5.0762776876339677E-2</v>
      </c>
      <c r="AB21" s="55">
        <f t="shared" si="13"/>
        <v>4.1276838823943951E-2</v>
      </c>
      <c r="AC21" s="55">
        <f t="shared" si="13"/>
        <v>3.2476508911279955E-2</v>
      </c>
      <c r="AD21" s="55">
        <f t="shared" si="13"/>
        <v>2.7174413826255739E-2</v>
      </c>
      <c r="AE21" s="55">
        <f t="shared" si="13"/>
        <v>2.7180395277468294E-2</v>
      </c>
      <c r="AF21" s="55">
        <f t="shared" si="13"/>
        <v>2.7186380450909819E-2</v>
      </c>
      <c r="AG21" s="55">
        <f t="shared" si="13"/>
        <v>2.719236927912605E-2</v>
      </c>
      <c r="AH21" s="55">
        <f t="shared" si="13"/>
        <v>2.7198361694493967E-2</v>
      </c>
    </row>
    <row r="22" spans="1:34" x14ac:dyDescent="0.25">
      <c r="A22" s="7" t="s">
        <v>44</v>
      </c>
      <c r="O22" s="50"/>
      <c r="P22" s="50"/>
      <c r="R22" s="144"/>
      <c r="S22" s="149"/>
      <c r="T22" s="134"/>
    </row>
    <row r="23" spans="1:34" x14ac:dyDescent="0.25">
      <c r="A23" t="s">
        <v>40</v>
      </c>
      <c r="C23" s="8">
        <f>508-178+42</f>
        <v>372</v>
      </c>
      <c r="D23" s="8">
        <v>347</v>
      </c>
      <c r="E23" s="8">
        <f>563-229+46</f>
        <v>380</v>
      </c>
      <c r="F23" s="8">
        <f>589-252+43</f>
        <v>380</v>
      </c>
      <c r="G23" s="8">
        <f>45+565-207</f>
        <v>403</v>
      </c>
      <c r="H23" s="8">
        <f>598-221+48</f>
        <v>425</v>
      </c>
      <c r="I23" s="100">
        <f>440+51</f>
        <v>491</v>
      </c>
      <c r="J23" s="100">
        <f>405+49+4-19</f>
        <v>439</v>
      </c>
      <c r="K23" s="100">
        <f>341+38-2-22</f>
        <v>355</v>
      </c>
      <c r="L23" s="100">
        <f>380+71+3-28</f>
        <v>426</v>
      </c>
      <c r="M23" s="100">
        <v>459.32612999999975</v>
      </c>
      <c r="N23" s="100">
        <v>451.46163999999993</v>
      </c>
      <c r="O23" s="158">
        <f>779.60391-O28-314.57359+91.74474+O17</f>
        <v>499.05373000000003</v>
      </c>
      <c r="P23" s="158">
        <v>608.78737000000012</v>
      </c>
      <c r="Q23" s="209">
        <f>588.11932+135</f>
        <v>723.11932000000002</v>
      </c>
      <c r="R23" s="170">
        <v>794.22946999999999</v>
      </c>
      <c r="S23" s="187">
        <f>149.65+612.60859+30</f>
        <v>792.25859000000003</v>
      </c>
      <c r="T23" s="9">
        <f t="shared" ref="T23:AH24" si="14">+S23*(1+T$9)</f>
        <v>816.02634770000009</v>
      </c>
      <c r="U23" s="9">
        <f t="shared" si="14"/>
        <v>840.50713813100015</v>
      </c>
      <c r="V23" s="9">
        <f t="shared" si="14"/>
        <v>865.72235227493013</v>
      </c>
      <c r="W23" s="9">
        <f t="shared" si="14"/>
        <v>891.694022843178</v>
      </c>
      <c r="X23" s="9">
        <f t="shared" si="14"/>
        <v>918.44484352847337</v>
      </c>
      <c r="Y23" s="9">
        <f t="shared" si="14"/>
        <v>945.99818883432761</v>
      </c>
      <c r="Z23" s="9">
        <f t="shared" si="14"/>
        <v>974.37813449935743</v>
      </c>
      <c r="AA23" s="9">
        <f t="shared" si="14"/>
        <v>1003.6094785343382</v>
      </c>
      <c r="AB23" s="9">
        <f t="shared" si="14"/>
        <v>1033.7177628903685</v>
      </c>
      <c r="AC23" s="9">
        <f t="shared" si="14"/>
        <v>1064.7292957770796</v>
      </c>
      <c r="AD23" s="9">
        <f t="shared" si="14"/>
        <v>1096.671174650392</v>
      </c>
      <c r="AE23" s="9">
        <f t="shared" si="14"/>
        <v>1129.5713098899039</v>
      </c>
      <c r="AF23" s="9">
        <f t="shared" si="14"/>
        <v>1163.458449186601</v>
      </c>
      <c r="AG23" s="9">
        <f t="shared" si="14"/>
        <v>1198.362202662199</v>
      </c>
      <c r="AH23" s="9">
        <f t="shared" si="14"/>
        <v>1234.3130687420651</v>
      </c>
    </row>
    <row r="24" spans="1:34" x14ac:dyDescent="0.25">
      <c r="A24" t="s">
        <v>8</v>
      </c>
      <c r="C24" s="8">
        <v>772</v>
      </c>
      <c r="D24" s="8">
        <v>733</v>
      </c>
      <c r="E24" s="8">
        <v>698</v>
      </c>
      <c r="F24" s="8">
        <v>729</v>
      </c>
      <c r="G24" s="8">
        <v>748</v>
      </c>
      <c r="H24" s="8">
        <v>731</v>
      </c>
      <c r="I24" s="100">
        <v>723</v>
      </c>
      <c r="J24" s="100">
        <f>737-31</f>
        <v>706</v>
      </c>
      <c r="K24" s="100">
        <f>776-33</f>
        <v>743</v>
      </c>
      <c r="L24" s="100">
        <f>763-33</f>
        <v>730</v>
      </c>
      <c r="M24" s="100">
        <v>722.10502999999994</v>
      </c>
      <c r="N24" s="100">
        <v>632.94849999999997</v>
      </c>
      <c r="O24" s="158">
        <f>775.16508-36.53486-6.68757</f>
        <v>731.94264999999996</v>
      </c>
      <c r="P24" s="158">
        <f>906.62758-43.05812+0.25416</f>
        <v>863.82361999999989</v>
      </c>
      <c r="Q24" s="209">
        <v>918.89300000000003</v>
      </c>
      <c r="R24" s="170">
        <f>1016.40663-36.28</f>
        <v>980.12662999999998</v>
      </c>
      <c r="S24" s="187">
        <v>1034.665</v>
      </c>
      <c r="T24" s="9">
        <f t="shared" si="14"/>
        <v>1065.7049500000001</v>
      </c>
      <c r="U24" s="9">
        <f t="shared" si="14"/>
        <v>1097.6760985000001</v>
      </c>
      <c r="V24" s="9">
        <f t="shared" si="14"/>
        <v>1130.606381455</v>
      </c>
      <c r="W24" s="9">
        <f t="shared" si="14"/>
        <v>1164.5245728986501</v>
      </c>
      <c r="X24" s="9">
        <f t="shared" si="14"/>
        <v>1199.4603100856098</v>
      </c>
      <c r="Y24" s="9">
        <f t="shared" si="14"/>
        <v>1235.444119388178</v>
      </c>
      <c r="Z24" s="9">
        <f t="shared" si="14"/>
        <v>1272.5074429698234</v>
      </c>
      <c r="AA24" s="9">
        <f t="shared" si="14"/>
        <v>1310.6826662589181</v>
      </c>
      <c r="AB24" s="9">
        <f t="shared" si="14"/>
        <v>1350.0031462466857</v>
      </c>
      <c r="AC24" s="9">
        <f t="shared" si="14"/>
        <v>1390.5032406340863</v>
      </c>
      <c r="AD24" s="9">
        <f t="shared" si="14"/>
        <v>1432.218337853109</v>
      </c>
      <c r="AE24" s="9">
        <f t="shared" si="14"/>
        <v>1475.1848879887023</v>
      </c>
      <c r="AF24" s="9">
        <f t="shared" si="14"/>
        <v>1519.4404346283634</v>
      </c>
      <c r="AG24" s="9">
        <f t="shared" si="14"/>
        <v>1565.0236476672144</v>
      </c>
      <c r="AH24" s="9">
        <f t="shared" si="14"/>
        <v>1611.9743570972309</v>
      </c>
    </row>
    <row r="25" spans="1:34" x14ac:dyDescent="0.25">
      <c r="A25" t="s">
        <v>30</v>
      </c>
      <c r="C25" s="8">
        <v>0</v>
      </c>
      <c r="D25" s="8">
        <v>0</v>
      </c>
      <c r="E25" s="8">
        <v>0</v>
      </c>
      <c r="F25" s="8">
        <v>0</v>
      </c>
      <c r="G25" s="8">
        <v>0</v>
      </c>
      <c r="H25" s="8">
        <v>0</v>
      </c>
      <c r="I25" s="100">
        <f t="shared" ref="I25:AH25" si="15">+H25*(1+I9)</f>
        <v>0</v>
      </c>
      <c r="J25" s="100">
        <f t="shared" si="15"/>
        <v>0</v>
      </c>
      <c r="K25" s="100">
        <f t="shared" si="15"/>
        <v>0</v>
      </c>
      <c r="L25" s="100">
        <f t="shared" si="15"/>
        <v>0</v>
      </c>
      <c r="M25" s="100">
        <f t="shared" si="15"/>
        <v>0</v>
      </c>
      <c r="N25" s="100">
        <f t="shared" si="15"/>
        <v>0</v>
      </c>
      <c r="O25" s="158">
        <f t="shared" si="15"/>
        <v>0</v>
      </c>
      <c r="P25" s="158">
        <f>+O25*(1+P9)</f>
        <v>0</v>
      </c>
      <c r="Q25" s="209">
        <f t="shared" si="15"/>
        <v>0</v>
      </c>
      <c r="R25" s="170">
        <f t="shared" si="15"/>
        <v>0</v>
      </c>
      <c r="S25" s="187">
        <f t="shared" si="15"/>
        <v>0</v>
      </c>
      <c r="T25" s="9">
        <f t="shared" si="15"/>
        <v>0</v>
      </c>
      <c r="U25" s="9">
        <f t="shared" si="15"/>
        <v>0</v>
      </c>
      <c r="V25" s="9">
        <f t="shared" si="15"/>
        <v>0</v>
      </c>
      <c r="W25" s="9">
        <f t="shared" si="15"/>
        <v>0</v>
      </c>
      <c r="X25" s="9">
        <f t="shared" si="15"/>
        <v>0</v>
      </c>
      <c r="Y25" s="9">
        <f t="shared" si="15"/>
        <v>0</v>
      </c>
      <c r="Z25" s="9">
        <f t="shared" si="15"/>
        <v>0</v>
      </c>
      <c r="AA25" s="9">
        <f t="shared" si="15"/>
        <v>0</v>
      </c>
      <c r="AB25" s="9">
        <f t="shared" si="15"/>
        <v>0</v>
      </c>
      <c r="AC25" s="9">
        <f t="shared" si="15"/>
        <v>0</v>
      </c>
      <c r="AD25" s="9">
        <f t="shared" si="15"/>
        <v>0</v>
      </c>
      <c r="AE25" s="9">
        <f t="shared" si="15"/>
        <v>0</v>
      </c>
      <c r="AF25" s="9">
        <f t="shared" si="15"/>
        <v>0</v>
      </c>
      <c r="AG25" s="9">
        <f t="shared" si="15"/>
        <v>0</v>
      </c>
      <c r="AH25" s="9">
        <f t="shared" si="15"/>
        <v>0</v>
      </c>
    </row>
    <row r="26" spans="1:34" x14ac:dyDescent="0.25">
      <c r="A26" t="s">
        <v>80</v>
      </c>
      <c r="C26" s="8">
        <f>116+42-47</f>
        <v>111</v>
      </c>
      <c r="D26" s="8">
        <v>81</v>
      </c>
      <c r="E26" s="8">
        <f>98+46-57</f>
        <v>87</v>
      </c>
      <c r="F26" s="8">
        <f>111-13</f>
        <v>98</v>
      </c>
      <c r="G26" s="8">
        <f>118-3</f>
        <v>115</v>
      </c>
      <c r="H26" s="8">
        <v>111</v>
      </c>
      <c r="I26" s="100">
        <v>105</v>
      </c>
      <c r="J26" s="100">
        <v>120</v>
      </c>
      <c r="K26" s="100">
        <v>152</v>
      </c>
      <c r="L26" s="100">
        <v>114</v>
      </c>
      <c r="M26" s="100">
        <v>144.54635000000002</v>
      </c>
      <c r="N26" s="100">
        <v>111.78326999999999</v>
      </c>
      <c r="O26" s="158">
        <f>171.99479-14.525</f>
        <v>157.46978999999999</v>
      </c>
      <c r="P26" s="158">
        <v>202.46761000000001</v>
      </c>
      <c r="Q26" s="209">
        <v>217.27</v>
      </c>
      <c r="R26" s="170">
        <v>236.35087999999999</v>
      </c>
      <c r="S26" s="187">
        <v>232.17071999999999</v>
      </c>
      <c r="T26" s="9">
        <f t="shared" ref="T26:AH29" si="16">+S26*(1+T$9)</f>
        <v>239.13584159999999</v>
      </c>
      <c r="U26" s="9">
        <f t="shared" si="16"/>
        <v>246.309916848</v>
      </c>
      <c r="V26" s="9">
        <f t="shared" si="16"/>
        <v>253.69921435344</v>
      </c>
      <c r="W26" s="9">
        <f t="shared" si="16"/>
        <v>261.31019078404319</v>
      </c>
      <c r="X26" s="9">
        <f t="shared" si="16"/>
        <v>269.14949650756449</v>
      </c>
      <c r="Y26" s="9">
        <f t="shared" si="16"/>
        <v>277.22398140279142</v>
      </c>
      <c r="Z26" s="9">
        <f t="shared" si="16"/>
        <v>285.54070084487518</v>
      </c>
      <c r="AA26" s="9">
        <f t="shared" si="16"/>
        <v>294.10692187022141</v>
      </c>
      <c r="AB26" s="9">
        <f t="shared" si="16"/>
        <v>302.93012952632807</v>
      </c>
      <c r="AC26" s="9">
        <f t="shared" si="16"/>
        <v>312.01803341211792</v>
      </c>
      <c r="AD26" s="9">
        <f t="shared" si="16"/>
        <v>321.37857441448148</v>
      </c>
      <c r="AE26" s="9">
        <f t="shared" si="16"/>
        <v>331.01993164691595</v>
      </c>
      <c r="AF26" s="9">
        <f t="shared" si="16"/>
        <v>340.95052959632346</v>
      </c>
      <c r="AG26" s="9">
        <f t="shared" si="16"/>
        <v>351.17904548421319</v>
      </c>
      <c r="AH26" s="9">
        <f t="shared" si="16"/>
        <v>361.71441684873957</v>
      </c>
    </row>
    <row r="27" spans="1:34" x14ac:dyDescent="0.25">
      <c r="A27" t="s">
        <v>11</v>
      </c>
      <c r="C27" s="8">
        <f>15-9</f>
        <v>6</v>
      </c>
      <c r="D27" s="8">
        <v>4</v>
      </c>
      <c r="E27" s="8">
        <v>8</v>
      </c>
      <c r="F27" s="8">
        <v>8</v>
      </c>
      <c r="G27" s="8">
        <v>13</v>
      </c>
      <c r="H27" s="8">
        <v>11</v>
      </c>
      <c r="I27" s="100">
        <v>19</v>
      </c>
      <c r="J27" s="100">
        <v>13</v>
      </c>
      <c r="K27" s="100">
        <v>11</v>
      </c>
      <c r="L27" s="100">
        <v>15</v>
      </c>
      <c r="M27" s="100">
        <v>34.178429999999992</v>
      </c>
      <c r="N27" s="100">
        <v>32.128859999999996</v>
      </c>
      <c r="O27" s="158">
        <v>30.137989999999999</v>
      </c>
      <c r="P27" s="158">
        <v>65.895150000000001</v>
      </c>
      <c r="Q27" s="209">
        <v>42.88944</v>
      </c>
      <c r="R27" s="170">
        <v>56.455939999999998</v>
      </c>
      <c r="S27" s="187">
        <v>75.452259999999995</v>
      </c>
      <c r="T27" s="9">
        <f t="shared" si="16"/>
        <v>77.7158278</v>
      </c>
      <c r="U27" s="9">
        <f t="shared" si="16"/>
        <v>80.047302634000005</v>
      </c>
      <c r="V27" s="9">
        <f t="shared" si="16"/>
        <v>82.448721713020007</v>
      </c>
      <c r="W27" s="9">
        <f t="shared" si="16"/>
        <v>84.922183364410614</v>
      </c>
      <c r="X27" s="9">
        <f t="shared" si="16"/>
        <v>87.469848865342939</v>
      </c>
      <c r="Y27" s="9">
        <f t="shared" si="16"/>
        <v>90.093944331303234</v>
      </c>
      <c r="Z27" s="9">
        <f t="shared" si="16"/>
        <v>92.79676266124234</v>
      </c>
      <c r="AA27" s="9">
        <f t="shared" si="16"/>
        <v>95.580665541079611</v>
      </c>
      <c r="AB27" s="9">
        <f t="shared" si="16"/>
        <v>98.448085507312001</v>
      </c>
      <c r="AC27" s="9">
        <f t="shared" si="16"/>
        <v>101.40152807253136</v>
      </c>
      <c r="AD27" s="9">
        <f t="shared" si="16"/>
        <v>104.4435739147073</v>
      </c>
      <c r="AE27" s="9">
        <f t="shared" si="16"/>
        <v>107.57688113214853</v>
      </c>
      <c r="AF27" s="9">
        <f t="shared" si="16"/>
        <v>110.80418756611299</v>
      </c>
      <c r="AG27" s="9">
        <f t="shared" si="16"/>
        <v>114.12831319309637</v>
      </c>
      <c r="AH27" s="9">
        <f t="shared" si="16"/>
        <v>117.55216258888927</v>
      </c>
    </row>
    <row r="28" spans="1:34" x14ac:dyDescent="0.25">
      <c r="A28" t="s">
        <v>13</v>
      </c>
      <c r="C28" s="8">
        <v>32</v>
      </c>
      <c r="D28" s="8">
        <v>29</v>
      </c>
      <c r="E28" s="8">
        <v>30</v>
      </c>
      <c r="F28" s="8">
        <v>30</v>
      </c>
      <c r="G28" s="8">
        <v>20</v>
      </c>
      <c r="H28" s="8">
        <v>22</v>
      </c>
      <c r="I28" s="100">
        <v>22</v>
      </c>
      <c r="J28" s="100">
        <v>19</v>
      </c>
      <c r="K28" s="100">
        <v>22</v>
      </c>
      <c r="L28" s="100">
        <v>28</v>
      </c>
      <c r="M28" s="100">
        <v>32.895189999999999</v>
      </c>
      <c r="N28" s="100">
        <v>44.509610000000002</v>
      </c>
      <c r="O28" s="158">
        <f>1.9+40.33459</f>
        <v>42.234589999999997</v>
      </c>
      <c r="P28" s="158">
        <f>92.06126-P29</f>
        <v>49.003140000000002</v>
      </c>
      <c r="Q28" s="209">
        <v>42.54</v>
      </c>
      <c r="R28" s="170">
        <v>42.592460000000003</v>
      </c>
      <c r="S28" s="187">
        <v>60.071910000000003</v>
      </c>
      <c r="T28" s="9">
        <f t="shared" si="16"/>
        <v>61.874067300000007</v>
      </c>
      <c r="U28" s="9">
        <f t="shared" si="16"/>
        <v>63.730289319000008</v>
      </c>
      <c r="V28" s="9">
        <f t="shared" si="16"/>
        <v>65.642197998570012</v>
      </c>
      <c r="W28" s="9">
        <f t="shared" si="16"/>
        <v>67.611463938527109</v>
      </c>
      <c r="X28" s="9">
        <f t="shared" si="16"/>
        <v>69.639807856682921</v>
      </c>
      <c r="Y28" s="9">
        <f t="shared" si="16"/>
        <v>71.729002092383411</v>
      </c>
      <c r="Z28" s="9">
        <f t="shared" si="16"/>
        <v>73.880872155154918</v>
      </c>
      <c r="AA28" s="9">
        <f t="shared" si="16"/>
        <v>76.097298319809568</v>
      </c>
      <c r="AB28" s="9">
        <f t="shared" si="16"/>
        <v>78.380217269403857</v>
      </c>
      <c r="AC28" s="9">
        <f t="shared" si="16"/>
        <v>80.731623787485972</v>
      </c>
      <c r="AD28" s="9">
        <f t="shared" si="16"/>
        <v>83.15357250111056</v>
      </c>
      <c r="AE28" s="9">
        <f t="shared" si="16"/>
        <v>85.648179676143883</v>
      </c>
      <c r="AF28" s="9">
        <f t="shared" si="16"/>
        <v>88.217625066428198</v>
      </c>
      <c r="AG28" s="9">
        <f t="shared" si="16"/>
        <v>90.864153818421045</v>
      </c>
      <c r="AH28" s="9">
        <f t="shared" si="16"/>
        <v>93.590078432973684</v>
      </c>
    </row>
    <row r="29" spans="1:34" x14ac:dyDescent="0.25">
      <c r="A29" t="s">
        <v>14</v>
      </c>
      <c r="C29" s="8">
        <v>42</v>
      </c>
      <c r="D29" s="8">
        <v>46</v>
      </c>
      <c r="E29" s="8">
        <v>45</v>
      </c>
      <c r="F29" s="8">
        <v>50</v>
      </c>
      <c r="G29" s="8">
        <v>42</v>
      </c>
      <c r="H29" s="8">
        <v>39</v>
      </c>
      <c r="I29" s="100">
        <v>31</v>
      </c>
      <c r="J29" s="100">
        <v>31</v>
      </c>
      <c r="K29" s="100">
        <v>33</v>
      </c>
      <c r="L29" s="100">
        <v>33</v>
      </c>
      <c r="M29" s="100">
        <v>52.671199999999999</v>
      </c>
      <c r="N29" s="100">
        <v>47.034960000000005</v>
      </c>
      <c r="O29" s="158">
        <f>6.68757+36.53486+4.35984</f>
        <v>47.582270000000001</v>
      </c>
      <c r="P29" s="158">
        <v>43.058120000000002</v>
      </c>
      <c r="Q29" s="209">
        <f>37.19+12.74</f>
        <v>49.93</v>
      </c>
      <c r="R29" s="170">
        <v>36.28</v>
      </c>
      <c r="S29" s="187">
        <v>50</v>
      </c>
      <c r="T29" s="9">
        <f t="shared" si="16"/>
        <v>51.5</v>
      </c>
      <c r="U29" s="9">
        <f t="shared" si="16"/>
        <v>53.045000000000002</v>
      </c>
      <c r="V29" s="9">
        <f t="shared" si="16"/>
        <v>54.63635</v>
      </c>
      <c r="W29" s="9">
        <f t="shared" si="16"/>
        <v>56.275440500000002</v>
      </c>
      <c r="X29" s="9">
        <f t="shared" si="16"/>
        <v>57.963703715000001</v>
      </c>
      <c r="Y29" s="9">
        <f t="shared" si="16"/>
        <v>59.702614826450002</v>
      </c>
      <c r="Z29" s="9">
        <f t="shared" si="16"/>
        <v>61.493693271243501</v>
      </c>
      <c r="AA29" s="9">
        <f t="shared" si="16"/>
        <v>63.338504069380811</v>
      </c>
      <c r="AB29" s="9">
        <f t="shared" si="16"/>
        <v>65.238659191462233</v>
      </c>
      <c r="AC29" s="9">
        <f t="shared" si="16"/>
        <v>67.195818967206108</v>
      </c>
      <c r="AD29" s="9">
        <f t="shared" si="16"/>
        <v>69.211693536222299</v>
      </c>
      <c r="AE29" s="9">
        <f t="shared" si="16"/>
        <v>71.288044342308964</v>
      </c>
      <c r="AF29" s="9">
        <f t="shared" si="16"/>
        <v>73.42668567257823</v>
      </c>
      <c r="AG29" s="9">
        <f t="shared" si="16"/>
        <v>75.629486242755576</v>
      </c>
      <c r="AH29" s="9">
        <f t="shared" si="16"/>
        <v>77.898370830038246</v>
      </c>
    </row>
    <row r="30" spans="1:34" s="6" customFormat="1" x14ac:dyDescent="0.25">
      <c r="A30" s="6" t="s">
        <v>45</v>
      </c>
      <c r="C30" s="12">
        <f t="shared" ref="C30:AH30" si="17">SUM(C23:C29)</f>
        <v>1335</v>
      </c>
      <c r="D30" s="12">
        <f t="shared" si="17"/>
        <v>1240</v>
      </c>
      <c r="E30" s="12">
        <f t="shared" si="17"/>
        <v>1248</v>
      </c>
      <c r="F30" s="12">
        <f t="shared" si="17"/>
        <v>1295</v>
      </c>
      <c r="G30" s="12">
        <f t="shared" si="17"/>
        <v>1341</v>
      </c>
      <c r="H30" s="12">
        <f t="shared" si="17"/>
        <v>1339</v>
      </c>
      <c r="I30" s="12">
        <f t="shared" si="17"/>
        <v>1391</v>
      </c>
      <c r="J30" s="12">
        <f t="shared" si="17"/>
        <v>1328</v>
      </c>
      <c r="K30" s="12">
        <f t="shared" si="17"/>
        <v>1316</v>
      </c>
      <c r="L30" s="12">
        <f t="shared" si="17"/>
        <v>1346</v>
      </c>
      <c r="M30" s="12">
        <f t="shared" si="17"/>
        <v>1445.7223299999996</v>
      </c>
      <c r="N30" s="12">
        <f t="shared" si="17"/>
        <v>1319.8668399999999</v>
      </c>
      <c r="O30" s="12">
        <f t="shared" si="17"/>
        <v>1508.4210200000002</v>
      </c>
      <c r="P30" s="12">
        <f t="shared" si="17"/>
        <v>1833.0350100000001</v>
      </c>
      <c r="Q30" s="212">
        <f t="shared" si="17"/>
        <v>1994.64176</v>
      </c>
      <c r="R30" s="173">
        <f t="shared" si="17"/>
        <v>2146.0353799999998</v>
      </c>
      <c r="S30" s="201">
        <f t="shared" si="17"/>
        <v>2244.6184800000001</v>
      </c>
      <c r="T30" s="12">
        <f t="shared" si="17"/>
        <v>2311.9570344000003</v>
      </c>
      <c r="U30" s="12">
        <f t="shared" si="17"/>
        <v>2381.3157454320003</v>
      </c>
      <c r="V30" s="12">
        <f t="shared" si="17"/>
        <v>2452.7552177949601</v>
      </c>
      <c r="W30" s="12">
        <f t="shared" si="17"/>
        <v>2526.3378743288094</v>
      </c>
      <c r="X30" s="12">
        <f t="shared" si="17"/>
        <v>2602.1280105586739</v>
      </c>
      <c r="Y30" s="12">
        <f t="shared" si="17"/>
        <v>2680.1918508754338</v>
      </c>
      <c r="Z30" s="12">
        <f t="shared" si="17"/>
        <v>2760.5976064016968</v>
      </c>
      <c r="AA30" s="12">
        <f t="shared" si="17"/>
        <v>2843.4155345937475</v>
      </c>
      <c r="AB30" s="12">
        <f t="shared" si="17"/>
        <v>2928.7180006315607</v>
      </c>
      <c r="AC30" s="12">
        <f t="shared" si="17"/>
        <v>3016.5795406505067</v>
      </c>
      <c r="AD30" s="12">
        <f t="shared" si="17"/>
        <v>3107.0769268700228</v>
      </c>
      <c r="AE30" s="12">
        <f t="shared" si="17"/>
        <v>3200.2892346761241</v>
      </c>
      <c r="AF30" s="12">
        <f t="shared" si="17"/>
        <v>3296.2979117164073</v>
      </c>
      <c r="AG30" s="12">
        <f t="shared" si="17"/>
        <v>3395.1868490678994</v>
      </c>
      <c r="AH30" s="12">
        <f t="shared" si="17"/>
        <v>3497.0424545399364</v>
      </c>
    </row>
    <row r="31" spans="1:34" x14ac:dyDescent="0.25">
      <c r="A31" s="56" t="s">
        <v>53</v>
      </c>
      <c r="D31" s="55">
        <f>+D30/C30-1</f>
        <v>-7.1161048689138529E-2</v>
      </c>
      <c r="E31" s="55">
        <f t="shared" ref="E31:AH31" si="18">+E30/D30-1</f>
        <v>6.4516129032257119E-3</v>
      </c>
      <c r="F31" s="55">
        <f t="shared" si="18"/>
        <v>3.7660256410256387E-2</v>
      </c>
      <c r="G31" s="55">
        <f t="shared" si="18"/>
        <v>3.5521235521235539E-2</v>
      </c>
      <c r="H31" s="55">
        <f t="shared" si="18"/>
        <v>-1.491424310216205E-3</v>
      </c>
      <c r="I31" s="55">
        <f t="shared" si="18"/>
        <v>3.8834951456310662E-2</v>
      </c>
      <c r="J31" s="55">
        <f t="shared" si="18"/>
        <v>-4.5291157440690122E-2</v>
      </c>
      <c r="K31" s="55">
        <f t="shared" si="18"/>
        <v>-9.0361445783132543E-3</v>
      </c>
      <c r="L31" s="55">
        <f t="shared" si="18"/>
        <v>2.2796352583586588E-2</v>
      </c>
      <c r="M31" s="55">
        <f t="shared" si="18"/>
        <v>7.4087912332837735E-2</v>
      </c>
      <c r="N31" s="55">
        <f t="shared" si="18"/>
        <v>-8.7053708300956933E-2</v>
      </c>
      <c r="O31" s="55">
        <f t="shared" si="18"/>
        <v>0.14285848714859783</v>
      </c>
      <c r="P31" s="55">
        <f t="shared" si="18"/>
        <v>0.21520118434838564</v>
      </c>
      <c r="Q31" s="211">
        <f>+Q30/P30-1</f>
        <v>8.8163482485803746E-2</v>
      </c>
      <c r="R31" s="172">
        <f t="shared" si="18"/>
        <v>7.5900155624937904E-2</v>
      </c>
      <c r="S31" s="197">
        <f t="shared" si="18"/>
        <v>4.5937313484552211E-2</v>
      </c>
      <c r="T31" s="55">
        <f t="shared" si="18"/>
        <v>3.0000000000000027E-2</v>
      </c>
      <c r="U31" s="55">
        <f t="shared" si="18"/>
        <v>3.0000000000000027E-2</v>
      </c>
      <c r="V31" s="55">
        <f t="shared" si="18"/>
        <v>2.9999999999999805E-2</v>
      </c>
      <c r="W31" s="55">
        <f t="shared" si="18"/>
        <v>3.0000000000000249E-2</v>
      </c>
      <c r="X31" s="55">
        <f t="shared" si="18"/>
        <v>3.0000000000000027E-2</v>
      </c>
      <c r="Y31" s="55">
        <f t="shared" si="18"/>
        <v>2.9999999999999805E-2</v>
      </c>
      <c r="Z31" s="55">
        <f t="shared" si="18"/>
        <v>3.0000000000000027E-2</v>
      </c>
      <c r="AA31" s="55">
        <f t="shared" si="18"/>
        <v>2.9999999999999805E-2</v>
      </c>
      <c r="AB31" s="55">
        <f t="shared" si="18"/>
        <v>3.0000000000000249E-2</v>
      </c>
      <c r="AC31" s="55">
        <f t="shared" si="18"/>
        <v>2.9999999999999805E-2</v>
      </c>
      <c r="AD31" s="55">
        <f t="shared" si="18"/>
        <v>3.0000000000000249E-2</v>
      </c>
      <c r="AE31" s="55">
        <f t="shared" si="18"/>
        <v>3.0000000000000249E-2</v>
      </c>
      <c r="AF31" s="55">
        <f t="shared" si="18"/>
        <v>2.9999999999999805E-2</v>
      </c>
      <c r="AG31" s="55">
        <f t="shared" si="18"/>
        <v>3.0000000000000027E-2</v>
      </c>
      <c r="AH31" s="55">
        <f t="shared" si="18"/>
        <v>3.0000000000000027E-2</v>
      </c>
    </row>
    <row r="32" spans="1:34" x14ac:dyDescent="0.25">
      <c r="A32" s="42" t="s">
        <v>47</v>
      </c>
      <c r="C32" s="8">
        <v>21</v>
      </c>
      <c r="D32" s="8">
        <v>0</v>
      </c>
      <c r="E32" s="8">
        <v>0</v>
      </c>
      <c r="F32" s="2">
        <v>0</v>
      </c>
      <c r="O32" s="50"/>
      <c r="P32" s="50"/>
      <c r="R32" s="144"/>
      <c r="S32" s="149"/>
    </row>
    <row r="33" spans="1:34" x14ac:dyDescent="0.25">
      <c r="A33" s="56"/>
      <c r="D33" s="55"/>
      <c r="E33" s="55"/>
      <c r="F33" s="55"/>
      <c r="G33" s="55"/>
      <c r="H33" s="55"/>
      <c r="I33" s="55"/>
      <c r="J33" s="55"/>
      <c r="K33" s="55"/>
      <c r="L33" s="55"/>
      <c r="M33" s="55"/>
      <c r="N33" s="55"/>
      <c r="O33" s="159"/>
      <c r="P33" s="159"/>
      <c r="Q33" s="159"/>
      <c r="R33" s="143"/>
      <c r="S33" s="151"/>
      <c r="T33" s="55"/>
      <c r="U33" s="55"/>
      <c r="V33" s="55"/>
      <c r="W33" s="55"/>
      <c r="X33" s="55"/>
      <c r="Y33" s="55"/>
      <c r="Z33" s="55"/>
      <c r="AA33" s="55"/>
      <c r="AB33" s="55"/>
      <c r="AC33" s="55"/>
      <c r="AD33" s="55"/>
      <c r="AE33" s="55"/>
      <c r="AF33" s="55"/>
      <c r="AG33" s="55"/>
      <c r="AH33" s="55"/>
    </row>
    <row r="34" spans="1:34" x14ac:dyDescent="0.25">
      <c r="A34" s="81" t="s">
        <v>59</v>
      </c>
      <c r="B34" s="82"/>
      <c r="C34" s="83">
        <f t="shared" ref="C34:AH34" si="19">+C20-C30+C32</f>
        <v>-587</v>
      </c>
      <c r="D34" s="83">
        <f t="shared" si="19"/>
        <v>-385</v>
      </c>
      <c r="E34" s="83">
        <f t="shared" si="19"/>
        <v>-254</v>
      </c>
      <c r="F34" s="83">
        <f t="shared" si="19"/>
        <v>-241</v>
      </c>
      <c r="G34" s="83">
        <f t="shared" si="19"/>
        <v>-216</v>
      </c>
      <c r="H34" s="83">
        <f t="shared" si="19"/>
        <v>-213</v>
      </c>
      <c r="I34" s="83">
        <f t="shared" si="19"/>
        <v>-275</v>
      </c>
      <c r="J34" s="83">
        <f t="shared" si="19"/>
        <v>-164</v>
      </c>
      <c r="K34" s="83">
        <f t="shared" si="19"/>
        <v>-105</v>
      </c>
      <c r="L34" s="83">
        <f t="shared" si="19"/>
        <v>6</v>
      </c>
      <c r="M34" s="83">
        <f t="shared" si="19"/>
        <v>52.197440000000142</v>
      </c>
      <c r="N34" s="83">
        <f t="shared" si="19"/>
        <v>288.43481700000029</v>
      </c>
      <c r="O34" s="83">
        <f>+O20-O30+O32</f>
        <v>429.3632299999997</v>
      </c>
      <c r="P34" s="83">
        <f t="shared" si="19"/>
        <v>430.02214999999978</v>
      </c>
      <c r="Q34" s="213">
        <f t="shared" si="19"/>
        <v>622.33172999999988</v>
      </c>
      <c r="R34" s="174">
        <f t="shared" si="19"/>
        <v>849.95942999999988</v>
      </c>
      <c r="S34" s="202">
        <f t="shared" si="19"/>
        <v>924.08365999999978</v>
      </c>
      <c r="T34" s="83">
        <f t="shared" si="19"/>
        <v>1061.3178349999998</v>
      </c>
      <c r="U34" s="83">
        <f t="shared" si="19"/>
        <v>1188.9163217299997</v>
      </c>
      <c r="V34" s="83">
        <f t="shared" si="19"/>
        <v>1326.4119514739004</v>
      </c>
      <c r="W34" s="83">
        <f t="shared" si="19"/>
        <v>1474.4691599841171</v>
      </c>
      <c r="X34" s="83">
        <f t="shared" si="19"/>
        <v>1633.793895260811</v>
      </c>
      <c r="Y34" s="83">
        <f t="shared" si="19"/>
        <v>1805.1361020331774</v>
      </c>
      <c r="Z34" s="83">
        <f t="shared" si="19"/>
        <v>1989.2923507386322</v>
      </c>
      <c r="AA34" s="83">
        <f t="shared" si="19"/>
        <v>2147.5920266280632</v>
      </c>
      <c r="AB34" s="83">
        <f t="shared" si="19"/>
        <v>2268.3025752638882</v>
      </c>
      <c r="AC34" s="83">
        <f t="shared" si="19"/>
        <v>2349.2221202901155</v>
      </c>
      <c r="AD34" s="83">
        <f t="shared" si="19"/>
        <v>2404.5372489146098</v>
      </c>
      <c r="AE34" s="83">
        <f t="shared" si="19"/>
        <v>2461.1327930232324</v>
      </c>
      <c r="AF34" s="83">
        <f t="shared" si="19"/>
        <v>2519.0376891211458</v>
      </c>
      <c r="AG34" s="83">
        <f t="shared" si="19"/>
        <v>2578.2815049096766</v>
      </c>
      <c r="AH34" s="83">
        <f t="shared" si="19"/>
        <v>2638.8944522997353</v>
      </c>
    </row>
    <row r="35" spans="1:34" x14ac:dyDescent="0.25">
      <c r="A35" s="56"/>
      <c r="D35" s="55"/>
      <c r="E35" s="55"/>
      <c r="F35" s="55"/>
      <c r="G35" s="55"/>
      <c r="H35" s="55"/>
      <c r="I35" s="55"/>
      <c r="J35" s="55"/>
      <c r="K35" s="55"/>
      <c r="L35" s="55"/>
      <c r="M35" s="55"/>
      <c r="N35" s="140"/>
      <c r="O35" s="160"/>
      <c r="P35" s="160"/>
      <c r="Q35" s="160"/>
      <c r="R35" s="145"/>
      <c r="S35" s="151"/>
      <c r="T35" s="55"/>
      <c r="U35" s="55"/>
      <c r="V35" s="55"/>
      <c r="W35" s="55"/>
      <c r="X35" s="55"/>
      <c r="Y35" s="55"/>
      <c r="Z35" s="55"/>
      <c r="AA35" s="55"/>
      <c r="AB35" s="55"/>
      <c r="AC35" s="55"/>
      <c r="AD35" s="55"/>
      <c r="AE35" s="55"/>
      <c r="AF35" s="55"/>
      <c r="AG35" s="55"/>
      <c r="AH35" s="55"/>
    </row>
    <row r="36" spans="1:34" x14ac:dyDescent="0.25">
      <c r="A36" t="s">
        <v>23</v>
      </c>
      <c r="C36" s="8">
        <v>-5</v>
      </c>
      <c r="D36" s="8">
        <v>-3</v>
      </c>
      <c r="E36" s="8">
        <v>-35</v>
      </c>
      <c r="F36" s="8">
        <v>-5</v>
      </c>
      <c r="G36" s="63">
        <v>-4</v>
      </c>
      <c r="H36" s="63">
        <v>-16</v>
      </c>
      <c r="I36" s="63">
        <v>-17</v>
      </c>
      <c r="J36" s="116">
        <v>-3</v>
      </c>
      <c r="K36" s="63">
        <v>0</v>
      </c>
      <c r="L36" s="63">
        <v>-27</v>
      </c>
      <c r="M36" s="63">
        <v>0</v>
      </c>
      <c r="N36" s="63">
        <v>0</v>
      </c>
      <c r="O36" s="158">
        <v>-87.489000000000004</v>
      </c>
      <c r="P36" s="158">
        <v>-130.51330999999999</v>
      </c>
      <c r="Q36" s="209">
        <v>-236.96600000000001</v>
      </c>
      <c r="R36" s="170">
        <v>-222.97916000000001</v>
      </c>
      <c r="S36" s="187">
        <v>-214.34399999999999</v>
      </c>
      <c r="T36" s="15">
        <f t="shared" ref="T36:AH36" si="20">+T34*-0.25</f>
        <v>-265.32945874999996</v>
      </c>
      <c r="U36" s="15">
        <f t="shared" si="20"/>
        <v>-297.22908043249993</v>
      </c>
      <c r="V36" s="15">
        <f t="shared" si="20"/>
        <v>-331.60298786847511</v>
      </c>
      <c r="W36" s="15">
        <f t="shared" si="20"/>
        <v>-368.61728999602929</v>
      </c>
      <c r="X36" s="15">
        <f t="shared" si="20"/>
        <v>-408.44847381520276</v>
      </c>
      <c r="Y36" s="15">
        <f t="shared" si="20"/>
        <v>-451.28402550829435</v>
      </c>
      <c r="Z36" s="15">
        <f t="shared" si="20"/>
        <v>-497.32308768465805</v>
      </c>
      <c r="AA36" s="15">
        <f t="shared" si="20"/>
        <v>-536.8980066570158</v>
      </c>
      <c r="AB36" s="15">
        <f t="shared" si="20"/>
        <v>-567.07564381597206</v>
      </c>
      <c r="AC36" s="15">
        <f t="shared" si="20"/>
        <v>-587.30553007252888</v>
      </c>
      <c r="AD36" s="15">
        <f>+AD34*-0.25</f>
        <v>-601.13431222865245</v>
      </c>
      <c r="AE36" s="15">
        <f t="shared" si="20"/>
        <v>-615.28319825580809</v>
      </c>
      <c r="AF36" s="15">
        <f t="shared" si="20"/>
        <v>-629.75942228028646</v>
      </c>
      <c r="AG36" s="15">
        <f t="shared" si="20"/>
        <v>-644.57037622741916</v>
      </c>
      <c r="AH36" s="15">
        <f t="shared" si="20"/>
        <v>-659.72361307493384</v>
      </c>
    </row>
    <row r="37" spans="1:34" x14ac:dyDescent="0.25">
      <c r="A37" t="s">
        <v>42</v>
      </c>
      <c r="C37" s="8">
        <f>10+15+2+13-11</f>
        <v>29</v>
      </c>
      <c r="D37" s="10">
        <v>26</v>
      </c>
      <c r="E37" s="10">
        <v>26</v>
      </c>
      <c r="F37" s="112">
        <v>47</v>
      </c>
      <c r="G37" s="112">
        <v>36</v>
      </c>
      <c r="H37" s="113">
        <v>-44</v>
      </c>
      <c r="I37" s="54">
        <v>-59</v>
      </c>
      <c r="J37" s="102">
        <v>8</v>
      </c>
      <c r="K37" s="43">
        <v>-56</v>
      </c>
      <c r="L37" s="43">
        <v>50</v>
      </c>
      <c r="M37" s="63">
        <v>0</v>
      </c>
      <c r="N37" s="63">
        <v>45</v>
      </c>
      <c r="O37" s="158">
        <v>46</v>
      </c>
      <c r="P37" s="158">
        <v>-291.48355700000093</v>
      </c>
      <c r="Q37" s="209">
        <v>-97.07302999999996</v>
      </c>
      <c r="R37" s="170">
        <v>-36</v>
      </c>
      <c r="S37" s="185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</row>
    <row r="38" spans="1:34" x14ac:dyDescent="0.25">
      <c r="C38" s="8"/>
      <c r="D38" s="10"/>
      <c r="E38" s="10"/>
      <c r="F38" s="10"/>
      <c r="G38" s="10"/>
      <c r="H38" s="11"/>
      <c r="O38" s="50"/>
      <c r="P38" s="50"/>
      <c r="Q38" s="205"/>
      <c r="R38" s="161"/>
      <c r="S38" s="186"/>
    </row>
    <row r="39" spans="1:34" x14ac:dyDescent="0.25">
      <c r="A39" s="81" t="s">
        <v>60</v>
      </c>
      <c r="B39" s="82"/>
      <c r="C39" s="83">
        <f t="shared" ref="C39:AC39" si="21">SUM(C34:C37)</f>
        <v>-563</v>
      </c>
      <c r="D39" s="83">
        <f t="shared" si="21"/>
        <v>-362</v>
      </c>
      <c r="E39" s="83">
        <f t="shared" si="21"/>
        <v>-263</v>
      </c>
      <c r="F39" s="83">
        <f t="shared" si="21"/>
        <v>-199</v>
      </c>
      <c r="G39" s="83">
        <f t="shared" si="21"/>
        <v>-184</v>
      </c>
      <c r="H39" s="83">
        <f t="shared" si="21"/>
        <v>-273</v>
      </c>
      <c r="I39" s="83">
        <f t="shared" si="21"/>
        <v>-351</v>
      </c>
      <c r="J39" s="83">
        <f t="shared" si="21"/>
        <v>-159</v>
      </c>
      <c r="K39" s="83">
        <f t="shared" si="21"/>
        <v>-161</v>
      </c>
      <c r="L39" s="83">
        <f t="shared" si="21"/>
        <v>29</v>
      </c>
      <c r="M39" s="83">
        <f t="shared" si="21"/>
        <v>52.197440000000142</v>
      </c>
      <c r="N39" s="83">
        <f t="shared" si="21"/>
        <v>333.43481700000029</v>
      </c>
      <c r="O39" s="83">
        <f>SUM(O34:O37)</f>
        <v>387.87422999999967</v>
      </c>
      <c r="P39" s="83">
        <f>SUM(P34:P37)</f>
        <v>8.0252829999988649</v>
      </c>
      <c r="Q39" s="213">
        <f t="shared" si="21"/>
        <v>288.29269999999991</v>
      </c>
      <c r="R39" s="174">
        <f t="shared" si="21"/>
        <v>590.9802699999999</v>
      </c>
      <c r="S39" s="202">
        <f t="shared" si="21"/>
        <v>709.73965999999973</v>
      </c>
      <c r="T39" s="83">
        <f t="shared" si="21"/>
        <v>795.98837624999987</v>
      </c>
      <c r="U39" s="83">
        <f t="shared" si="21"/>
        <v>891.68724129749978</v>
      </c>
      <c r="V39" s="83">
        <f t="shared" si="21"/>
        <v>994.80896360542533</v>
      </c>
      <c r="W39" s="83">
        <f t="shared" si="21"/>
        <v>1105.8518699880879</v>
      </c>
      <c r="X39" s="83">
        <f t="shared" si="21"/>
        <v>1225.3454214456083</v>
      </c>
      <c r="Y39" s="83">
        <f t="shared" si="21"/>
        <v>1353.8520765248832</v>
      </c>
      <c r="Z39" s="83">
        <f t="shared" si="21"/>
        <v>1491.9692630539741</v>
      </c>
      <c r="AA39" s="83">
        <f t="shared" si="21"/>
        <v>1610.6940199710475</v>
      </c>
      <c r="AB39" s="83">
        <f t="shared" si="21"/>
        <v>1701.2269314479163</v>
      </c>
      <c r="AC39" s="83">
        <f t="shared" si="21"/>
        <v>1761.9165902175866</v>
      </c>
      <c r="AD39" s="83">
        <f t="shared" ref="AD39:AF39" si="22">SUM(AD34:AD37)</f>
        <v>1803.4029366859572</v>
      </c>
      <c r="AE39" s="83">
        <f t="shared" si="22"/>
        <v>1845.8495947674242</v>
      </c>
      <c r="AF39" s="83">
        <f t="shared" si="22"/>
        <v>1889.2782668408595</v>
      </c>
      <c r="AG39" s="83">
        <f>SUM(AG34:AG37)</f>
        <v>1933.7111286822574</v>
      </c>
      <c r="AH39" s="83">
        <f t="shared" ref="AH39" si="23">SUM(AH34:AH37)</f>
        <v>1979.1708392248015</v>
      </c>
    </row>
    <row r="40" spans="1:34" x14ac:dyDescent="0.25">
      <c r="A40" s="56"/>
      <c r="D40" s="55"/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159"/>
      <c r="P40" s="159"/>
      <c r="Q40" s="159"/>
      <c r="R40" s="143"/>
      <c r="S40" s="197"/>
      <c r="T40" s="55"/>
      <c r="U40" s="55"/>
      <c r="V40" s="55"/>
      <c r="W40" s="55"/>
      <c r="X40" s="55"/>
      <c r="Y40" s="55"/>
      <c r="Z40" s="55"/>
      <c r="AA40" s="55"/>
      <c r="AB40" s="55"/>
      <c r="AC40" s="55"/>
      <c r="AD40" s="55"/>
      <c r="AE40" s="55"/>
      <c r="AF40" s="55"/>
      <c r="AG40" s="55"/>
      <c r="AH40" s="55"/>
    </row>
    <row r="41" spans="1:34" x14ac:dyDescent="0.25">
      <c r="A41" t="s">
        <v>72</v>
      </c>
      <c r="C41" s="86">
        <v>178</v>
      </c>
      <c r="D41" s="86">
        <v>207</v>
      </c>
      <c r="E41" s="86">
        <v>229</v>
      </c>
      <c r="F41" s="86">
        <v>252</v>
      </c>
      <c r="G41" s="86">
        <v>207</v>
      </c>
      <c r="H41" s="86">
        <v>221</v>
      </c>
      <c r="I41" s="86">
        <v>238</v>
      </c>
      <c r="J41" s="117">
        <v>257</v>
      </c>
      <c r="K41" s="117">
        <v>271</v>
      </c>
      <c r="L41" s="117">
        <v>285</v>
      </c>
      <c r="M41" s="117">
        <v>295.43071000000003</v>
      </c>
      <c r="N41" s="117">
        <v>306</v>
      </c>
      <c r="O41" s="117">
        <v>314.17739999999998</v>
      </c>
      <c r="P41" s="117">
        <v>318.14296000000002</v>
      </c>
      <c r="Q41" s="214">
        <v>321.09050000000002</v>
      </c>
      <c r="R41" s="175">
        <v>320.75306</v>
      </c>
      <c r="S41" s="203">
        <v>317.66023000000001</v>
      </c>
      <c r="T41" s="89">
        <f t="shared" ref="T41:AH41" si="24">MAX((S45+(T30-T20)/2)*T11,0)</f>
        <v>297.97881433125008</v>
      </c>
      <c r="U41" s="89">
        <f t="shared" si="24"/>
        <v>286.08965038765314</v>
      </c>
      <c r="V41" s="89">
        <f t="shared" si="24"/>
        <v>269.75326004191356</v>
      </c>
      <c r="W41" s="89">
        <f t="shared" si="24"/>
        <v>248.81431135498468</v>
      </c>
      <c r="X41" s="89">
        <f t="shared" si="24"/>
        <v>223.11174952577542</v>
      </c>
      <c r="Y41" s="89">
        <f t="shared" si="24"/>
        <v>196.37857052531217</v>
      </c>
      <c r="Z41" s="89">
        <f t="shared" si="24"/>
        <v>168.56833502592119</v>
      </c>
      <c r="AA41" s="89">
        <f t="shared" si="24"/>
        <v>140.27443618106037</v>
      </c>
      <c r="AB41" s="89">
        <f t="shared" si="24"/>
        <v>111.67180894161267</v>
      </c>
      <c r="AC41" s="89">
        <f t="shared" si="24"/>
        <v>82.786200125538883</v>
      </c>
      <c r="AD41" s="89">
        <f t="shared" si="24"/>
        <v>53.377880789470858</v>
      </c>
      <c r="AE41" s="89">
        <f t="shared" si="24"/>
        <v>22.992984323363547</v>
      </c>
      <c r="AF41" s="89">
        <f t="shared" si="24"/>
        <v>0</v>
      </c>
      <c r="AG41" s="89">
        <f t="shared" si="24"/>
        <v>0</v>
      </c>
      <c r="AH41" s="89">
        <f t="shared" si="24"/>
        <v>0</v>
      </c>
    </row>
    <row r="42" spans="1:34" x14ac:dyDescent="0.25">
      <c r="A42" t="s">
        <v>78</v>
      </c>
      <c r="C42" s="86"/>
      <c r="D42" s="86"/>
      <c r="E42" s="86"/>
      <c r="F42" s="86"/>
      <c r="G42" s="86"/>
      <c r="H42" s="86"/>
      <c r="I42" s="86"/>
      <c r="J42" s="117"/>
      <c r="K42" s="117"/>
      <c r="L42" s="117"/>
      <c r="M42" s="117"/>
      <c r="N42" s="117">
        <v>-60</v>
      </c>
      <c r="O42" s="117">
        <f>-15*12</f>
        <v>-180</v>
      </c>
      <c r="P42" s="117">
        <f>-20*12</f>
        <v>-240</v>
      </c>
      <c r="Q42" s="214">
        <f>-25*12</f>
        <v>-300</v>
      </c>
      <c r="R42" s="175">
        <f>-30*12</f>
        <v>-360</v>
      </c>
      <c r="S42" s="203">
        <f>-40*12</f>
        <v>-480</v>
      </c>
      <c r="T42" s="89">
        <f>-50*12</f>
        <v>-600</v>
      </c>
      <c r="U42" s="89">
        <f>-60*12</f>
        <v>-720</v>
      </c>
      <c r="V42" s="89">
        <f>-70*12</f>
        <v>-840</v>
      </c>
      <c r="W42" s="89">
        <f>-80*12</f>
        <v>-960</v>
      </c>
      <c r="X42" s="89">
        <f>W42</f>
        <v>-960</v>
      </c>
      <c r="Y42" s="89">
        <f t="shared" ref="Y42:AH42" si="25">X42</f>
        <v>-960</v>
      </c>
      <c r="Z42" s="89">
        <f t="shared" si="25"/>
        <v>-960</v>
      </c>
      <c r="AA42" s="89">
        <f t="shared" si="25"/>
        <v>-960</v>
      </c>
      <c r="AB42" s="89">
        <f t="shared" si="25"/>
        <v>-960</v>
      </c>
      <c r="AC42" s="89">
        <f t="shared" si="25"/>
        <v>-960</v>
      </c>
      <c r="AD42" s="89">
        <f>AC42</f>
        <v>-960</v>
      </c>
      <c r="AE42" s="89">
        <f t="shared" si="25"/>
        <v>-960</v>
      </c>
      <c r="AF42" s="89">
        <f t="shared" si="25"/>
        <v>-960</v>
      </c>
      <c r="AG42" s="89">
        <f t="shared" si="25"/>
        <v>-960</v>
      </c>
      <c r="AH42" s="89">
        <f t="shared" si="25"/>
        <v>-960</v>
      </c>
    </row>
    <row r="43" spans="1:34" s="6" customFormat="1" x14ac:dyDescent="0.25">
      <c r="A43" s="6" t="s">
        <v>61</v>
      </c>
      <c r="C43" s="12">
        <f t="shared" ref="C43:M43" si="26">+C39-C41</f>
        <v>-741</v>
      </c>
      <c r="D43" s="12">
        <f t="shared" si="26"/>
        <v>-569</v>
      </c>
      <c r="E43" s="12">
        <f t="shared" si="26"/>
        <v>-492</v>
      </c>
      <c r="F43" s="12">
        <f t="shared" si="26"/>
        <v>-451</v>
      </c>
      <c r="G43" s="12">
        <f t="shared" si="26"/>
        <v>-391</v>
      </c>
      <c r="H43" s="12">
        <f t="shared" si="26"/>
        <v>-494</v>
      </c>
      <c r="I43" s="12">
        <f t="shared" si="26"/>
        <v>-589</v>
      </c>
      <c r="J43" s="12">
        <f t="shared" si="26"/>
        <v>-416</v>
      </c>
      <c r="K43" s="12">
        <f t="shared" si="26"/>
        <v>-432</v>
      </c>
      <c r="L43" s="12">
        <f t="shared" si="26"/>
        <v>-256</v>
      </c>
      <c r="M43" s="12">
        <f t="shared" si="26"/>
        <v>-243.23326999999989</v>
      </c>
      <c r="N43" s="12">
        <f>+N39-N47</f>
        <v>87.434817000000294</v>
      </c>
      <c r="O43" s="12">
        <f>+O39-O47</f>
        <v>253.69682999999918</v>
      </c>
      <c r="P43" s="12">
        <f>+P39-P47</f>
        <v>-123.29807699999964</v>
      </c>
      <c r="Q43" s="212">
        <f>Q39+Q42</f>
        <v>-11.707300000000089</v>
      </c>
      <c r="R43" s="173">
        <f>R39+R42</f>
        <v>230.9802699999999</v>
      </c>
      <c r="S43" s="201">
        <f>S39+S42</f>
        <v>229.73965999999973</v>
      </c>
      <c r="T43" s="212">
        <f t="shared" ref="T43:AH43" si="27">T39+T42</f>
        <v>195.98837624999987</v>
      </c>
      <c r="U43" s="212">
        <f t="shared" si="27"/>
        <v>171.68724129749978</v>
      </c>
      <c r="V43" s="212">
        <f t="shared" si="27"/>
        <v>154.80896360542533</v>
      </c>
      <c r="W43" s="212">
        <f t="shared" si="27"/>
        <v>145.85186998808786</v>
      </c>
      <c r="X43" s="212">
        <f t="shared" si="27"/>
        <v>265.34542144560828</v>
      </c>
      <c r="Y43" s="212">
        <f t="shared" si="27"/>
        <v>393.85207652488316</v>
      </c>
      <c r="Z43" s="212">
        <f t="shared" si="27"/>
        <v>531.96926305397415</v>
      </c>
      <c r="AA43" s="212">
        <f t="shared" si="27"/>
        <v>650.69401997104751</v>
      </c>
      <c r="AB43" s="212">
        <f t="shared" si="27"/>
        <v>741.22693144791629</v>
      </c>
      <c r="AC43" s="212">
        <f t="shared" si="27"/>
        <v>801.91659021758664</v>
      </c>
      <c r="AD43" s="212">
        <f t="shared" si="27"/>
        <v>843.40293668595723</v>
      </c>
      <c r="AE43" s="212">
        <f t="shared" si="27"/>
        <v>885.84959476742415</v>
      </c>
      <c r="AF43" s="212">
        <f t="shared" si="27"/>
        <v>929.27826684085949</v>
      </c>
      <c r="AG43" s="212">
        <f t="shared" si="27"/>
        <v>973.71112868225737</v>
      </c>
      <c r="AH43" s="212">
        <f t="shared" si="27"/>
        <v>1019.1708392248015</v>
      </c>
    </row>
    <row r="44" spans="1:34" x14ac:dyDescent="0.25">
      <c r="D44" s="11"/>
      <c r="E44" s="11"/>
      <c r="F44" s="11"/>
      <c r="G44" s="11"/>
      <c r="H44" s="11"/>
      <c r="I44" s="11"/>
      <c r="J44" s="11"/>
      <c r="K44" s="11"/>
      <c r="L44" s="11"/>
      <c r="M44" s="11"/>
      <c r="O44" s="50"/>
      <c r="P44" s="50"/>
      <c r="R44" s="144"/>
      <c r="S44" s="149"/>
    </row>
    <row r="45" spans="1:34" x14ac:dyDescent="0.25">
      <c r="A45" s="21" t="s">
        <v>26</v>
      </c>
      <c r="B45" s="21"/>
      <c r="C45" s="22">
        <v>4735</v>
      </c>
      <c r="D45" s="22">
        <v>5318</v>
      </c>
      <c r="E45" s="22">
        <f>5606+229</f>
        <v>5835</v>
      </c>
      <c r="F45" s="22">
        <v>6332</v>
      </c>
      <c r="G45" s="22">
        <v>6730</v>
      </c>
      <c r="H45" s="23">
        <v>7254</v>
      </c>
      <c r="I45" s="23">
        <f>7254+350+238</f>
        <v>7842</v>
      </c>
      <c r="J45" s="23">
        <v>8294</v>
      </c>
      <c r="K45" s="23">
        <v>8790</v>
      </c>
      <c r="L45" s="23">
        <f>8840+285</f>
        <v>9125</v>
      </c>
      <c r="M45" s="11">
        <f t="shared" ref="M45" si="28">MAX(0,+L45-M43)</f>
        <v>9368.2332700000006</v>
      </c>
      <c r="N45" s="11">
        <f>M45+N41+N42</f>
        <v>9614.2332700000006</v>
      </c>
      <c r="O45" s="11">
        <f>N45+O41+O42</f>
        <v>9748.4106700000011</v>
      </c>
      <c r="P45" s="11">
        <v>9879.7340299999996</v>
      </c>
      <c r="Q45" s="11">
        <f>P45+Q41+Q42</f>
        <v>9900.8245299999999</v>
      </c>
      <c r="R45" s="170">
        <f t="shared" ref="R45:AE45" si="29">Q45+R41+R42</f>
        <v>9861.5775900000008</v>
      </c>
      <c r="S45" s="198">
        <f>R45+S41+S42</f>
        <v>9699.2378200000003</v>
      </c>
      <c r="T45" s="11">
        <f t="shared" si="29"/>
        <v>9397.216634331251</v>
      </c>
      <c r="U45" s="11">
        <f t="shared" si="29"/>
        <v>8963.3062847189049</v>
      </c>
      <c r="V45" s="11">
        <f t="shared" si="29"/>
        <v>8393.0595447608175</v>
      </c>
      <c r="W45" s="11">
        <f t="shared" si="29"/>
        <v>7681.8738561158025</v>
      </c>
      <c r="X45" s="11">
        <f t="shared" si="29"/>
        <v>6944.9856056415783</v>
      </c>
      <c r="Y45" s="11">
        <f t="shared" si="29"/>
        <v>6181.3641761668905</v>
      </c>
      <c r="Z45" s="11">
        <f t="shared" si="29"/>
        <v>5389.9325111928119</v>
      </c>
      <c r="AA45" s="11">
        <f t="shared" si="29"/>
        <v>4570.206947373872</v>
      </c>
      <c r="AB45" s="11">
        <f t="shared" si="29"/>
        <v>3721.8787563154847</v>
      </c>
      <c r="AC45" s="11">
        <f t="shared" si="29"/>
        <v>2844.6649564410236</v>
      </c>
      <c r="AD45" s="11">
        <f t="shared" si="29"/>
        <v>1938.0428372304946</v>
      </c>
      <c r="AE45" s="11">
        <f t="shared" si="29"/>
        <v>1001.0358215538581</v>
      </c>
      <c r="AF45" s="11">
        <f>AE45+AF41+AF42</f>
        <v>41.035821553858113</v>
      </c>
      <c r="AG45" s="11"/>
      <c r="AH45" s="11"/>
    </row>
    <row r="46" spans="1:34" x14ac:dyDescent="0.25">
      <c r="A46" s="21" t="s">
        <v>27</v>
      </c>
      <c r="B46" s="21"/>
      <c r="C46" s="22">
        <v>4731</v>
      </c>
      <c r="D46" s="22">
        <v>4752</v>
      </c>
      <c r="E46" s="22">
        <v>4776</v>
      </c>
      <c r="F46" s="22">
        <v>5144</v>
      </c>
      <c r="G46" s="22">
        <v>5444</v>
      </c>
      <c r="H46" s="24">
        <v>6424</v>
      </c>
      <c r="I46" s="24">
        <v>6773</v>
      </c>
      <c r="J46" s="24">
        <v>7482</v>
      </c>
      <c r="K46" s="24">
        <v>7500</v>
      </c>
      <c r="L46" s="24">
        <f t="shared" ref="L46:AF46" si="30">IF(L45&gt;0,K46+L48,MAX(0,K46+L48-(L43-(K45-L45))))</f>
        <v>7500</v>
      </c>
      <c r="M46" s="43">
        <f t="shared" si="30"/>
        <v>7500</v>
      </c>
      <c r="N46" s="43">
        <f t="shared" si="30"/>
        <v>7500</v>
      </c>
      <c r="O46" s="43">
        <f t="shared" si="30"/>
        <v>7500</v>
      </c>
      <c r="P46" s="43">
        <f t="shared" si="30"/>
        <v>7500</v>
      </c>
      <c r="Q46" s="43">
        <f t="shared" si="30"/>
        <v>7500</v>
      </c>
      <c r="R46" s="170">
        <f t="shared" si="30"/>
        <v>7500</v>
      </c>
      <c r="S46" s="182">
        <f t="shared" si="30"/>
        <v>7500</v>
      </c>
      <c r="T46" s="43">
        <f t="shared" si="30"/>
        <v>7500</v>
      </c>
      <c r="U46" s="43">
        <f t="shared" si="30"/>
        <v>7500</v>
      </c>
      <c r="V46" s="43">
        <f t="shared" si="30"/>
        <v>7500</v>
      </c>
      <c r="W46" s="43">
        <f t="shared" si="30"/>
        <v>7500</v>
      </c>
      <c r="X46" s="43">
        <f t="shared" si="30"/>
        <v>7500</v>
      </c>
      <c r="Y46" s="43">
        <f t="shared" si="30"/>
        <v>7500</v>
      </c>
      <c r="Z46" s="43">
        <f t="shared" si="30"/>
        <v>7500</v>
      </c>
      <c r="AA46" s="43">
        <f t="shared" si="30"/>
        <v>7500</v>
      </c>
      <c r="AB46" s="43">
        <f t="shared" si="30"/>
        <v>7500</v>
      </c>
      <c r="AC46" s="43">
        <f t="shared" si="30"/>
        <v>7500</v>
      </c>
      <c r="AD46" s="43">
        <f t="shared" si="30"/>
        <v>7500</v>
      </c>
      <c r="AE46" s="43">
        <f t="shared" si="30"/>
        <v>7500</v>
      </c>
      <c r="AF46" s="43">
        <f t="shared" si="30"/>
        <v>7500</v>
      </c>
      <c r="AG46" s="43">
        <f>AF46+AG42</f>
        <v>6540</v>
      </c>
      <c r="AH46" s="43">
        <f>AG46+AH42</f>
        <v>5580</v>
      </c>
    </row>
    <row r="47" spans="1:34" x14ac:dyDescent="0.25">
      <c r="A47" t="s">
        <v>71</v>
      </c>
      <c r="C47" s="54"/>
      <c r="D47" s="101">
        <f>+D45-C45</f>
        <v>583</v>
      </c>
      <c r="E47" s="102">
        <f t="shared" ref="E47:AE47" si="31">+E45-D45</f>
        <v>517</v>
      </c>
      <c r="F47" s="102">
        <f t="shared" si="31"/>
        <v>497</v>
      </c>
      <c r="G47" s="102">
        <f t="shared" si="31"/>
        <v>398</v>
      </c>
      <c r="H47" s="43">
        <f t="shared" si="31"/>
        <v>524</v>
      </c>
      <c r="I47" s="43">
        <f t="shared" si="31"/>
        <v>588</v>
      </c>
      <c r="J47" s="43">
        <f t="shared" si="31"/>
        <v>452</v>
      </c>
      <c r="K47" s="43">
        <f t="shared" si="31"/>
        <v>496</v>
      </c>
      <c r="L47" s="43">
        <f t="shared" si="31"/>
        <v>335</v>
      </c>
      <c r="M47" s="43">
        <f t="shared" si="31"/>
        <v>243.23327000000063</v>
      </c>
      <c r="N47" s="43">
        <f>+N45-M45</f>
        <v>246</v>
      </c>
      <c r="O47" s="157">
        <f>+O45-N45</f>
        <v>134.17740000000049</v>
      </c>
      <c r="P47" s="157">
        <f t="shared" si="31"/>
        <v>131.3233599999985</v>
      </c>
      <c r="Q47" s="101">
        <f>+Q45-P45</f>
        <v>21.090500000000247</v>
      </c>
      <c r="R47" s="170">
        <f>+R45-Q45</f>
        <v>-39.246939999999086</v>
      </c>
      <c r="S47" s="182">
        <f t="shared" si="31"/>
        <v>-162.3397700000005</v>
      </c>
      <c r="T47" s="4">
        <f t="shared" si="31"/>
        <v>-302.02118566874924</v>
      </c>
      <c r="U47" s="4">
        <f t="shared" si="31"/>
        <v>-433.91034961234618</v>
      </c>
      <c r="V47" s="4">
        <f t="shared" si="31"/>
        <v>-570.24673995808735</v>
      </c>
      <c r="W47" s="4">
        <f t="shared" si="31"/>
        <v>-711.18568864501503</v>
      </c>
      <c r="X47" s="4">
        <f t="shared" si="31"/>
        <v>-736.88825047422415</v>
      </c>
      <c r="Y47" s="4">
        <f t="shared" si="31"/>
        <v>-763.62142947468783</v>
      </c>
      <c r="Z47" s="4">
        <f t="shared" si="31"/>
        <v>-791.43166497407856</v>
      </c>
      <c r="AA47" s="4">
        <f t="shared" si="31"/>
        <v>-819.72556381893992</v>
      </c>
      <c r="AB47" s="4">
        <f t="shared" si="31"/>
        <v>-848.32819105838735</v>
      </c>
      <c r="AC47" s="4">
        <f t="shared" si="31"/>
        <v>-877.21379987446107</v>
      </c>
      <c r="AD47" s="4">
        <f t="shared" si="31"/>
        <v>-906.62211921052904</v>
      </c>
      <c r="AE47" s="4">
        <f t="shared" si="31"/>
        <v>-937.00701567663646</v>
      </c>
      <c r="AF47" s="4">
        <f>AF46+AF45+AF42</f>
        <v>6581.0358215538581</v>
      </c>
      <c r="AG47" s="4">
        <f t="shared" ref="AG47:AH47" si="32">AG46+AG45+AG42</f>
        <v>5580</v>
      </c>
      <c r="AH47" s="4">
        <f t="shared" si="32"/>
        <v>4620</v>
      </c>
    </row>
    <row r="48" spans="1:34" x14ac:dyDescent="0.25">
      <c r="A48" t="s">
        <v>31</v>
      </c>
      <c r="C48" s="54"/>
      <c r="D48" s="54">
        <f>+D46-C46</f>
        <v>21</v>
      </c>
      <c r="E48" s="54">
        <f>+E46-D46</f>
        <v>24</v>
      </c>
      <c r="F48" s="54">
        <f>+F46-E46</f>
        <v>368</v>
      </c>
      <c r="G48" s="54">
        <f>+G46-F46</f>
        <v>300</v>
      </c>
      <c r="H48" s="59">
        <v>980</v>
      </c>
      <c r="I48">
        <v>349</v>
      </c>
      <c r="J48">
        <v>709</v>
      </c>
      <c r="K48">
        <f>IF(SUM($D48:J48)&lt;(7500-$C46),IF((10000*K6/1000+SUM($D48:J48))&lt;(7500-$C46),10000*K6/1000,7500-$C46-SUM($D48:J48)),0)</f>
        <v>18</v>
      </c>
      <c r="L48">
        <f>IF(SUM($D48:K48)&lt;(7500-$C46),IF((10000*L6/1000+SUM($D48:K48))&lt;(7500-$C46),10000*L6/1000,7500-$C46-SUM($D48:K48)),0)</f>
        <v>0</v>
      </c>
      <c r="M48">
        <f>IF(SUM($D48:L48)&lt;(7500-$C46),IF((10000*M6/1000+SUM($D48:L48))&lt;(7500-$C46),10000*M6/1000,7500-$C46-SUM($D48:L48)),0)</f>
        <v>0</v>
      </c>
      <c r="N48">
        <f>IF(SUM($D48:M48)&lt;(7500-$C46),IF((10000*N6/1000+SUM($D48:M48))&lt;(7500-$C46),10000*N6/1000,7500-$C46-SUM($D48:M48)),0)</f>
        <v>0</v>
      </c>
      <c r="O48">
        <f>IF(SUM($D48:N48)&lt;(7500-$C46),IF((10000*O6/1000+SUM($D48:N48))&lt;(7500-$C46),10000*O6/1000,7500-$C46-SUM($D48:N48)),0)</f>
        <v>0</v>
      </c>
      <c r="P48">
        <f>IF(SUM($D48:O48)&lt;(7500-$C46),IF((10000*P6/1000+SUM($D48:O48))&lt;(7500-$C46),10000*P6/1000,7500-$C46-SUM($D48:O48)),0)</f>
        <v>0</v>
      </c>
      <c r="Q48" s="205">
        <f>IF(SUM($D48:P48)&lt;(7500-$C46),IF((10000*Q6/1000+SUM($D48:P48))&lt;(7500-$C46),10000*Q6/1000,7500-$C46-SUM($D48:P48)),0)</f>
        <v>0</v>
      </c>
      <c r="R48" s="161">
        <f>IF(SUM($D48:Q48)&lt;(7500-$C46),IF((10000*R6/1000+SUM($D48:Q48))&lt;(7500-$C46),10000*R6/1000,7500-$C46-SUM($D48:Q48)),0)</f>
        <v>0</v>
      </c>
      <c r="S48" s="186">
        <f>IF(SUM($D48:R48)&lt;(7500-$C46),IF((10000*S6/1000+SUM($D48:R48))&lt;(7500-$C46),10000*S6/1000,7500-$C46-SUM($D48:R48)),0)</f>
        <v>0</v>
      </c>
      <c r="T48">
        <f>IF(SUM($D48:S48)&lt;(7500-$C46),IF((10000*T6/1000+SUM($D48:S48))&lt;(7500-$C46),10000*T6/1000,7500-$C46-SUM($D48:S48)),0)</f>
        <v>0</v>
      </c>
      <c r="U48">
        <f>IF(SUM($D48:T48)&lt;(7500-$C46),IF((10000*U6/1000+SUM($D48:T48))&lt;(7500-$C46),10000*U6/1000,7500-$C46-SUM($D48:T48)),0)</f>
        <v>0</v>
      </c>
      <c r="V48">
        <f>IF(SUM($D48:U48)&lt;(7500-$C46),IF((10000*V6/1000+SUM($D48:U48))&lt;(7500-$C46),10000*V6/1000,7500-$C46-SUM($D48:U48)),0)</f>
        <v>0</v>
      </c>
      <c r="W48">
        <f>IF(SUM($D48:V48)&lt;(7500-$C46),IF((10000*W6/1000+SUM($D48:V48))&lt;(7500-$C46),10000*W6/1000,7500-$C46-SUM($D48:V48)),0)</f>
        <v>0</v>
      </c>
      <c r="X48">
        <f>IF(SUM($D48:W48)&lt;(7500-$C46),IF((10000*X6/1000+SUM($D48:W48))&lt;(7500-$C46),10000*X6/1000,7500-$C46-SUM($D48:W48)),0)</f>
        <v>0</v>
      </c>
      <c r="Y48">
        <f>IF(SUM($D48:X48)&lt;(7500-$C46),IF((10000*Y6/1000+SUM($D48:X48))&lt;(7500-$C46),10000*Y6/1000,7500-$C46-SUM($D48:X48)),0)</f>
        <v>0</v>
      </c>
      <c r="Z48">
        <f>IF(SUM($D48:Y48)&lt;(7500-$C46),IF((10000*Z6/1000+SUM($D48:Y48))&lt;(7500-$C46),10000*Z6/1000,7500-$C46-SUM($D48:Y48)),0)</f>
        <v>0</v>
      </c>
      <c r="AA48">
        <f>IF(SUM($D48:Z48)&lt;(7500-$C46),IF((10000*AA6/1000+SUM($D48:Z48))&lt;(7500-$C46),10000*AA6/1000,7500-$C46-SUM($D48:Z48)),0)</f>
        <v>0</v>
      </c>
      <c r="AB48">
        <f>IF(SUM($D48:AA48)&lt;(7500-$C46),IF((10000*AB6/1000+SUM($D48:AA48))&lt;(7500-$C46),10000*AB6/1000,7500-$C46-SUM($D48:AA48)),0)</f>
        <v>0</v>
      </c>
      <c r="AC48">
        <f>IF(SUM($D48:AB48)&lt;(7500-$C46),IF((10000*AC6/1000+SUM($D48:AB48))&lt;(7500-$C46),10000*AC6/1000,7500-$C46-SUM($D48:AB48)),0)</f>
        <v>0</v>
      </c>
      <c r="AD48">
        <f>IF(SUM($D48:AC48)&lt;(7500-$C46),IF((10000*AD6/1000+SUM($D48:AC48))&lt;(7500-$C46),10000*AD6/1000,7500-$C46-SUM($D48:AC48)),0)</f>
        <v>0</v>
      </c>
      <c r="AE48">
        <f>IF(SUM($D48:AD48)&lt;(7500-$C46),IF((10000*AE6/1000+SUM($D48:AD48))&lt;(7500-$C46),10000*AE6/1000,7500-$C46-SUM($D48:AD48)),0)</f>
        <v>0</v>
      </c>
      <c r="AF48">
        <f>IF(SUM($D48:AE48)&lt;(7500-$C46),IF((10000*AF6/1000+SUM($D48:AE48))&lt;(7500-$C46),10000*AF6/1000,7500-$C46-SUM($D48:AE48)),0)</f>
        <v>0</v>
      </c>
      <c r="AG48">
        <f>IF(SUM($D48:AF48)&lt;(7500-$C46),IF((10000*AG6/1000+SUM($D48:AF48))&lt;(7500-$C46),10000*AG6/1000,7500-$C46-SUM($D48:AF48)),0)</f>
        <v>0</v>
      </c>
      <c r="AH48">
        <f>IF(SUM($D48:AG48)&lt;(7500-$C46),IF((10000*AH6/1000+SUM($D48:AG48))&lt;(7500-$C46),10000*AH6/1000,7500-$C46-SUM($D48:AG48)),0)</f>
        <v>0</v>
      </c>
    </row>
    <row r="49" spans="1:34" x14ac:dyDescent="0.25">
      <c r="A49" t="s">
        <v>55</v>
      </c>
      <c r="C49">
        <v>8</v>
      </c>
      <c r="D49" s="11">
        <v>8</v>
      </c>
      <c r="E49" s="11">
        <v>2</v>
      </c>
      <c r="F49" s="11">
        <v>33</v>
      </c>
      <c r="G49" s="11">
        <v>22</v>
      </c>
      <c r="H49">
        <v>42</v>
      </c>
      <c r="I49" s="11">
        <v>12</v>
      </c>
      <c r="J49" s="11">
        <v>1</v>
      </c>
      <c r="K49" s="11">
        <v>3</v>
      </c>
      <c r="L49" s="11">
        <v>2</v>
      </c>
      <c r="M49" s="11">
        <v>2</v>
      </c>
      <c r="N49" s="11">
        <f>N43</f>
        <v>87.434817000000294</v>
      </c>
      <c r="O49" s="11">
        <f>N49+O43</f>
        <v>341.13164699999948</v>
      </c>
      <c r="P49" s="11">
        <f>O49+P43</f>
        <v>217.83356999999984</v>
      </c>
      <c r="Q49" s="135">
        <f>P49+Q43</f>
        <v>206.12626999999975</v>
      </c>
      <c r="R49" s="176">
        <f>Q49+R43</f>
        <v>437.10653999999965</v>
      </c>
      <c r="S49" s="198">
        <f>R49+S43</f>
        <v>666.84619999999938</v>
      </c>
      <c r="T49" s="135">
        <f t="shared" ref="T49:AH49" si="33">S49+T43</f>
        <v>862.83457624999926</v>
      </c>
      <c r="U49" s="135">
        <f t="shared" si="33"/>
        <v>1034.521817547499</v>
      </c>
      <c r="V49" s="135">
        <f t="shared" si="33"/>
        <v>1189.3307811529244</v>
      </c>
      <c r="W49" s="135">
        <f t="shared" si="33"/>
        <v>1335.1826511410122</v>
      </c>
      <c r="X49" s="135">
        <f t="shared" si="33"/>
        <v>1600.5280725866205</v>
      </c>
      <c r="Y49" s="135">
        <f t="shared" si="33"/>
        <v>1994.3801491115037</v>
      </c>
      <c r="Z49" s="135">
        <f t="shared" si="33"/>
        <v>2526.3494121654776</v>
      </c>
      <c r="AA49" s="135">
        <f t="shared" si="33"/>
        <v>3177.0434321365251</v>
      </c>
      <c r="AB49" s="135">
        <f t="shared" si="33"/>
        <v>3918.2703635844414</v>
      </c>
      <c r="AC49" s="135">
        <f t="shared" si="33"/>
        <v>4720.1869538020283</v>
      </c>
      <c r="AD49" s="135">
        <f t="shared" si="33"/>
        <v>5563.589890487985</v>
      </c>
      <c r="AE49" s="135">
        <f t="shared" si="33"/>
        <v>6449.4394852554087</v>
      </c>
      <c r="AF49" s="135">
        <f t="shared" si="33"/>
        <v>7378.7177520962687</v>
      </c>
      <c r="AG49" s="135">
        <f t="shared" si="33"/>
        <v>8352.4288807785269</v>
      </c>
      <c r="AH49" s="135">
        <f t="shared" si="33"/>
        <v>9371.5997200033289</v>
      </c>
    </row>
    <row r="50" spans="1:34" x14ac:dyDescent="0.25">
      <c r="A50" t="s">
        <v>56</v>
      </c>
      <c r="C50">
        <f t="shared" ref="C50:F50" si="34">+C49-B49</f>
        <v>8</v>
      </c>
      <c r="D50" s="11">
        <f t="shared" si="34"/>
        <v>0</v>
      </c>
      <c r="E50" s="11">
        <f t="shared" si="34"/>
        <v>-6</v>
      </c>
      <c r="F50" s="11">
        <f t="shared" si="34"/>
        <v>31</v>
      </c>
      <c r="G50" s="11">
        <f>+G49-F49</f>
        <v>-11</v>
      </c>
      <c r="H50" s="11">
        <f>+H49-G49</f>
        <v>20</v>
      </c>
      <c r="I50" s="11">
        <f t="shared" ref="I50:AH50" si="35">+I49-H49</f>
        <v>-30</v>
      </c>
      <c r="J50" s="11">
        <f t="shared" si="35"/>
        <v>-11</v>
      </c>
      <c r="K50" s="11">
        <f t="shared" si="35"/>
        <v>2</v>
      </c>
      <c r="L50" s="11">
        <f t="shared" si="35"/>
        <v>-1</v>
      </c>
      <c r="M50" s="11">
        <f t="shared" si="35"/>
        <v>0</v>
      </c>
      <c r="N50" s="11">
        <f>+N49-M49</f>
        <v>85.434817000000294</v>
      </c>
      <c r="O50" s="11">
        <f>+O49-N49</f>
        <v>253.69682999999918</v>
      </c>
      <c r="P50" s="11">
        <f>+P49-O49</f>
        <v>-123.29807699999964</v>
      </c>
      <c r="Q50" s="135">
        <f t="shared" si="35"/>
        <v>-11.707300000000089</v>
      </c>
      <c r="R50" s="176">
        <f>+R49-Q49</f>
        <v>230.9802699999999</v>
      </c>
      <c r="S50" s="198">
        <f>+S49-R49</f>
        <v>229.73965999999973</v>
      </c>
      <c r="T50" s="11">
        <f t="shared" si="35"/>
        <v>195.98837624999987</v>
      </c>
      <c r="U50" s="11">
        <f t="shared" si="35"/>
        <v>171.68724129749978</v>
      </c>
      <c r="V50" s="11">
        <f t="shared" si="35"/>
        <v>154.80896360542533</v>
      </c>
      <c r="W50" s="11">
        <f t="shared" si="35"/>
        <v>145.85186998808786</v>
      </c>
      <c r="X50" s="11">
        <f t="shared" si="35"/>
        <v>265.34542144560828</v>
      </c>
      <c r="Y50" s="11">
        <f t="shared" si="35"/>
        <v>393.85207652488316</v>
      </c>
      <c r="Z50" s="11">
        <f t="shared" si="35"/>
        <v>531.96926305397392</v>
      </c>
      <c r="AA50" s="11">
        <f t="shared" si="35"/>
        <v>650.69401997104751</v>
      </c>
      <c r="AB50" s="11">
        <f t="shared" si="35"/>
        <v>741.22693144791629</v>
      </c>
      <c r="AC50" s="11">
        <f t="shared" si="35"/>
        <v>801.91659021758687</v>
      </c>
      <c r="AD50" s="11">
        <f t="shared" si="35"/>
        <v>843.40293668595677</v>
      </c>
      <c r="AE50" s="11">
        <f t="shared" si="35"/>
        <v>885.8495947674237</v>
      </c>
      <c r="AF50" s="11">
        <f t="shared" si="35"/>
        <v>929.27826684085994</v>
      </c>
      <c r="AG50" s="11">
        <f t="shared" si="35"/>
        <v>973.71112868225828</v>
      </c>
      <c r="AH50" s="11">
        <f t="shared" si="35"/>
        <v>1019.170839224802</v>
      </c>
    </row>
    <row r="51" spans="1:34" x14ac:dyDescent="0.25">
      <c r="A51" s="6" t="s">
        <v>83</v>
      </c>
      <c r="D51" s="59"/>
      <c r="E51" s="59"/>
      <c r="F51" s="59"/>
      <c r="G51" s="59"/>
      <c r="H51" s="59"/>
      <c r="I51" s="59"/>
      <c r="N51" s="43"/>
    </row>
    <row r="52" spans="1:34" x14ac:dyDescent="0.25">
      <c r="A52" s="215"/>
    </row>
    <row r="73" spans="1:40" x14ac:dyDescent="0.25">
      <c r="C73" s="4"/>
    </row>
    <row r="74" spans="1:40" x14ac:dyDescent="0.25">
      <c r="G74" s="14">
        <f t="shared" ref="G74:AH74" si="36">G3</f>
        <v>2013</v>
      </c>
      <c r="H74" s="14">
        <f t="shared" si="36"/>
        <v>2014</v>
      </c>
      <c r="I74" s="14">
        <f t="shared" si="36"/>
        <v>2015</v>
      </c>
      <c r="J74" s="14">
        <f t="shared" si="36"/>
        <v>2016</v>
      </c>
      <c r="K74" s="14">
        <f t="shared" si="36"/>
        <v>2017</v>
      </c>
      <c r="L74" s="14">
        <f t="shared" si="36"/>
        <v>2018</v>
      </c>
      <c r="M74" s="14">
        <f t="shared" si="36"/>
        <v>2019</v>
      </c>
      <c r="N74" s="14">
        <f t="shared" si="36"/>
        <v>2020</v>
      </c>
      <c r="O74" s="14">
        <f t="shared" si="36"/>
        <v>2021</v>
      </c>
      <c r="P74" s="14">
        <f t="shared" si="36"/>
        <v>2022</v>
      </c>
      <c r="Q74" s="14">
        <f t="shared" si="36"/>
        <v>2023</v>
      </c>
      <c r="R74" s="14">
        <f t="shared" si="36"/>
        <v>2024</v>
      </c>
      <c r="S74" s="14">
        <f t="shared" si="36"/>
        <v>2025</v>
      </c>
      <c r="T74" s="14">
        <f t="shared" si="36"/>
        <v>2026</v>
      </c>
      <c r="U74" s="14">
        <f t="shared" si="36"/>
        <v>2027</v>
      </c>
      <c r="V74" s="14">
        <f t="shared" si="36"/>
        <v>2028</v>
      </c>
      <c r="W74" s="14">
        <f t="shared" si="36"/>
        <v>2029</v>
      </c>
      <c r="X74" s="14">
        <f t="shared" si="36"/>
        <v>2030</v>
      </c>
      <c r="Y74" s="14">
        <f t="shared" si="36"/>
        <v>2031</v>
      </c>
      <c r="Z74" s="14">
        <f t="shared" si="36"/>
        <v>2032</v>
      </c>
      <c r="AA74" s="14">
        <f t="shared" si="36"/>
        <v>2033</v>
      </c>
      <c r="AB74" s="14">
        <f t="shared" si="36"/>
        <v>2034</v>
      </c>
      <c r="AC74" s="14">
        <f t="shared" si="36"/>
        <v>2035</v>
      </c>
      <c r="AD74" s="14">
        <f t="shared" si="36"/>
        <v>2036</v>
      </c>
      <c r="AE74" s="14">
        <f t="shared" si="36"/>
        <v>2037</v>
      </c>
      <c r="AF74" s="14">
        <f t="shared" si="36"/>
        <v>2038</v>
      </c>
      <c r="AG74" s="14">
        <f t="shared" si="36"/>
        <v>2039</v>
      </c>
      <c r="AH74" s="14">
        <f t="shared" si="36"/>
        <v>2040</v>
      </c>
    </row>
    <row r="75" spans="1:40" x14ac:dyDescent="0.25">
      <c r="A75" t="s">
        <v>62</v>
      </c>
      <c r="C75" s="10">
        <f t="shared" ref="C75:AH75" si="37">+C34-C18+C24+C29</f>
        <v>-277</v>
      </c>
      <c r="D75" s="10">
        <f t="shared" si="37"/>
        <v>-186</v>
      </c>
      <c r="E75" s="10">
        <f t="shared" si="37"/>
        <v>-183</v>
      </c>
      <c r="F75" s="10">
        <f t="shared" si="37"/>
        <v>-158</v>
      </c>
      <c r="G75" s="10">
        <f t="shared" si="37"/>
        <v>-143</v>
      </c>
      <c r="H75" s="10">
        <f t="shared" si="37"/>
        <v>-112</v>
      </c>
      <c r="I75" s="10">
        <f t="shared" si="37"/>
        <v>-113</v>
      </c>
      <c r="J75" s="10">
        <f t="shared" si="37"/>
        <v>0</v>
      </c>
      <c r="K75" s="10">
        <f t="shared" si="37"/>
        <v>127</v>
      </c>
      <c r="L75" s="10">
        <f t="shared" si="37"/>
        <v>186</v>
      </c>
      <c r="M75" s="10">
        <f>+M34-M18+M24+M29</f>
        <v>181.32079000000056</v>
      </c>
      <c r="N75" s="10">
        <f t="shared" si="37"/>
        <v>246.90053000000029</v>
      </c>
      <c r="O75" s="10">
        <f t="shared" si="37"/>
        <v>246.6193999999997</v>
      </c>
      <c r="P75" s="10">
        <f t="shared" si="37"/>
        <v>228.43538999999973</v>
      </c>
      <c r="Q75" s="10">
        <f t="shared" si="37"/>
        <v>222.65365999999989</v>
      </c>
      <c r="R75" s="10">
        <f>+R34-R18+R24+R29</f>
        <v>164.96416999999977</v>
      </c>
      <c r="S75" s="10">
        <f t="shared" si="37"/>
        <v>296.5194799999997</v>
      </c>
      <c r="T75" s="10">
        <f t="shared" si="37"/>
        <v>414.92672959999982</v>
      </c>
      <c r="U75" s="10">
        <f t="shared" si="37"/>
        <v>523.13348316799954</v>
      </c>
      <c r="V75" s="10">
        <f t="shared" si="37"/>
        <v>640.65562775504009</v>
      </c>
      <c r="W75" s="10">
        <f t="shared" si="37"/>
        <v>768.14014655369101</v>
      </c>
      <c r="X75" s="10">
        <f t="shared" si="37"/>
        <v>906.27501142747212</v>
      </c>
      <c r="Y75" s="10">
        <f t="shared" si="37"/>
        <v>1055.7916516848381</v>
      </c>
      <c r="Z75" s="10">
        <f t="shared" si="37"/>
        <v>1217.4675668798427</v>
      </c>
      <c r="AA75" s="10">
        <f t="shared" si="37"/>
        <v>1352.6124992535101</v>
      </c>
      <c r="AB75" s="10">
        <f t="shared" si="37"/>
        <v>1449.4736620680983</v>
      </c>
      <c r="AC75" s="10">
        <f t="shared" si="37"/>
        <v>1505.8283396984521</v>
      </c>
      <c r="AD75" s="10">
        <f t="shared" si="37"/>
        <v>1535.8416549051967</v>
      </c>
      <c r="AE75" s="10">
        <f t="shared" si="37"/>
        <v>1566.3763311935368</v>
      </c>
      <c r="AF75" s="10">
        <f t="shared" si="37"/>
        <v>1597.4385334365593</v>
      </c>
      <c r="AG75" s="10">
        <f t="shared" si="37"/>
        <v>1629.0343745545526</v>
      </c>
      <c r="AH75" s="10">
        <f t="shared" si="37"/>
        <v>1661.1699080339574</v>
      </c>
      <c r="AI75" s="10"/>
      <c r="AJ75" s="10"/>
      <c r="AK75" s="10"/>
      <c r="AL75" s="10"/>
      <c r="AM75" s="10"/>
      <c r="AN75" s="10"/>
    </row>
    <row r="76" spans="1:40" x14ac:dyDescent="0.25">
      <c r="A76" t="s">
        <v>63</v>
      </c>
      <c r="C76" s="90">
        <f t="shared" ref="C76:AH76" si="38">+C34-C75</f>
        <v>-310</v>
      </c>
      <c r="D76" s="90">
        <f t="shared" si="38"/>
        <v>-199</v>
      </c>
      <c r="E76" s="90">
        <f t="shared" si="38"/>
        <v>-71</v>
      </c>
      <c r="F76" s="90">
        <f t="shared" si="38"/>
        <v>-83</v>
      </c>
      <c r="G76" s="90">
        <f t="shared" si="38"/>
        <v>-73</v>
      </c>
      <c r="H76" s="90">
        <f t="shared" si="38"/>
        <v>-101</v>
      </c>
      <c r="I76" s="90">
        <f t="shared" si="38"/>
        <v>-162</v>
      </c>
      <c r="J76" s="90">
        <f t="shared" si="38"/>
        <v>-164</v>
      </c>
      <c r="K76" s="90">
        <f>+K34-K75</f>
        <v>-232</v>
      </c>
      <c r="L76" s="90">
        <f t="shared" si="38"/>
        <v>-180</v>
      </c>
      <c r="M76" s="90">
        <f>+M34-M75</f>
        <v>-129.12335000000041</v>
      </c>
      <c r="N76" s="90">
        <f t="shared" si="38"/>
        <v>41.534287000000006</v>
      </c>
      <c r="O76" s="90">
        <f>+O34-O75</f>
        <v>182.74383</v>
      </c>
      <c r="P76" s="90">
        <f>+P34-P75</f>
        <v>201.58676000000006</v>
      </c>
      <c r="Q76" s="90">
        <f t="shared" si="38"/>
        <v>399.67806999999999</v>
      </c>
      <c r="R76" s="90">
        <f>+R34-R75</f>
        <v>684.99526000000014</v>
      </c>
      <c r="S76" s="90">
        <f t="shared" si="38"/>
        <v>627.56418000000008</v>
      </c>
      <c r="T76" s="90">
        <f t="shared" si="38"/>
        <v>646.39110540000001</v>
      </c>
      <c r="U76" s="90">
        <f t="shared" si="38"/>
        <v>665.78283856200017</v>
      </c>
      <c r="V76" s="90">
        <f t="shared" si="38"/>
        <v>685.75632371886036</v>
      </c>
      <c r="W76" s="90">
        <f t="shared" si="38"/>
        <v>706.32901343042613</v>
      </c>
      <c r="X76" s="90">
        <f t="shared" si="38"/>
        <v>727.51888383333892</v>
      </c>
      <c r="Y76" s="90">
        <f t="shared" si="38"/>
        <v>749.34445034833925</v>
      </c>
      <c r="Z76" s="90">
        <f t="shared" si="38"/>
        <v>771.82478385878949</v>
      </c>
      <c r="AA76" s="90">
        <f t="shared" si="38"/>
        <v>794.97952737455307</v>
      </c>
      <c r="AB76" s="90">
        <f t="shared" si="38"/>
        <v>818.82891319578994</v>
      </c>
      <c r="AC76" s="90">
        <f t="shared" si="38"/>
        <v>843.39378059166347</v>
      </c>
      <c r="AD76" s="90">
        <f t="shared" si="38"/>
        <v>868.69559400941307</v>
      </c>
      <c r="AE76" s="90">
        <f t="shared" si="38"/>
        <v>894.75646182969558</v>
      </c>
      <c r="AF76" s="90">
        <f t="shared" si="38"/>
        <v>921.59915568458655</v>
      </c>
      <c r="AG76" s="90">
        <f t="shared" si="38"/>
        <v>949.247130355124</v>
      </c>
      <c r="AH76" s="90">
        <f t="shared" si="38"/>
        <v>977.72454426577792</v>
      </c>
      <c r="AI76" s="90"/>
      <c r="AJ76" s="90"/>
      <c r="AK76" s="90"/>
      <c r="AL76" s="90"/>
      <c r="AM76" s="90"/>
      <c r="AN76" s="90"/>
    </row>
    <row r="77" spans="1:40" x14ac:dyDescent="0.25">
      <c r="A77" t="s">
        <v>86</v>
      </c>
      <c r="C77" s="10">
        <f t="shared" ref="C77:AH77" si="39">+C75+C76</f>
        <v>-587</v>
      </c>
      <c r="D77" s="10">
        <f t="shared" si="39"/>
        <v>-385</v>
      </c>
      <c r="E77" s="10">
        <f t="shared" si="39"/>
        <v>-254</v>
      </c>
      <c r="F77" s="10">
        <f t="shared" si="39"/>
        <v>-241</v>
      </c>
      <c r="G77" s="10">
        <f t="shared" si="39"/>
        <v>-216</v>
      </c>
      <c r="H77" s="10">
        <f t="shared" si="39"/>
        <v>-213</v>
      </c>
      <c r="I77" s="10">
        <f t="shared" si="39"/>
        <v>-275</v>
      </c>
      <c r="J77" s="10">
        <f t="shared" si="39"/>
        <v>-164</v>
      </c>
      <c r="K77" s="10">
        <f t="shared" si="39"/>
        <v>-105</v>
      </c>
      <c r="L77" s="10">
        <f t="shared" si="39"/>
        <v>6</v>
      </c>
      <c r="M77" s="10">
        <f t="shared" si="39"/>
        <v>52.197440000000142</v>
      </c>
      <c r="N77" s="10">
        <f t="shared" si="39"/>
        <v>288.43481700000029</v>
      </c>
      <c r="O77" s="10">
        <f t="shared" si="39"/>
        <v>429.3632299999997</v>
      </c>
      <c r="P77" s="10">
        <f t="shared" si="39"/>
        <v>430.02214999999978</v>
      </c>
      <c r="Q77" s="10">
        <f t="shared" si="39"/>
        <v>622.33172999999988</v>
      </c>
      <c r="R77" s="10">
        <f>+R75+R76</f>
        <v>849.95942999999988</v>
      </c>
      <c r="S77" s="10">
        <f t="shared" si="39"/>
        <v>924.08365999999978</v>
      </c>
      <c r="T77" s="10">
        <f t="shared" si="39"/>
        <v>1061.3178349999998</v>
      </c>
      <c r="U77" s="10">
        <f t="shared" si="39"/>
        <v>1188.9163217299997</v>
      </c>
      <c r="V77" s="10">
        <f t="shared" si="39"/>
        <v>1326.4119514739004</v>
      </c>
      <c r="W77" s="10">
        <f t="shared" si="39"/>
        <v>1474.4691599841171</v>
      </c>
      <c r="X77" s="10">
        <f t="shared" si="39"/>
        <v>1633.793895260811</v>
      </c>
      <c r="Y77" s="10">
        <f t="shared" si="39"/>
        <v>1805.1361020331774</v>
      </c>
      <c r="Z77" s="10">
        <f t="shared" si="39"/>
        <v>1989.2923507386322</v>
      </c>
      <c r="AA77" s="10">
        <f t="shared" si="39"/>
        <v>2147.5920266280632</v>
      </c>
      <c r="AB77" s="10">
        <f t="shared" si="39"/>
        <v>2268.3025752638882</v>
      </c>
      <c r="AC77" s="10">
        <f t="shared" si="39"/>
        <v>2349.2221202901155</v>
      </c>
      <c r="AD77" s="10">
        <f t="shared" si="39"/>
        <v>2404.5372489146098</v>
      </c>
      <c r="AE77" s="10">
        <f t="shared" si="39"/>
        <v>2461.1327930232324</v>
      </c>
      <c r="AF77" s="10">
        <f t="shared" si="39"/>
        <v>2519.0376891211458</v>
      </c>
      <c r="AG77" s="10">
        <f t="shared" si="39"/>
        <v>2578.2815049096766</v>
      </c>
      <c r="AH77" s="10">
        <f t="shared" si="39"/>
        <v>2638.8944522997353</v>
      </c>
      <c r="AI77" s="10"/>
      <c r="AJ77" s="10"/>
      <c r="AK77" s="10"/>
      <c r="AL77" s="10"/>
      <c r="AM77" s="10"/>
      <c r="AN77" s="10"/>
    </row>
    <row r="79" spans="1:40" x14ac:dyDescent="0.25">
      <c r="M79" s="10"/>
      <c r="N79" s="10"/>
      <c r="O79" s="10"/>
      <c r="P79" s="10"/>
    </row>
    <row r="80" spans="1:40" x14ac:dyDescent="0.25">
      <c r="F80" s="43"/>
      <c r="G80" s="43"/>
      <c r="H80" s="43"/>
      <c r="I80" s="43"/>
      <c r="J80" s="43"/>
      <c r="K80" s="43"/>
      <c r="L80" s="43"/>
      <c r="M80" s="43"/>
      <c r="N80" s="43"/>
      <c r="O80" s="43"/>
      <c r="P80" s="43"/>
      <c r="Q80" s="152"/>
      <c r="R80" s="152"/>
      <c r="S80" s="43"/>
      <c r="T80" s="43"/>
      <c r="U80" s="43"/>
      <c r="V80" s="43"/>
      <c r="W80" s="43"/>
      <c r="X80" s="43"/>
      <c r="Y80" s="43"/>
      <c r="Z80" s="43"/>
      <c r="AA80" s="43"/>
      <c r="AB80" s="43"/>
      <c r="AC80" s="43"/>
    </row>
    <row r="81" spans="4:29" x14ac:dyDescent="0.25">
      <c r="D81" s="59"/>
      <c r="E81" s="59"/>
      <c r="F81" s="4"/>
      <c r="G81" s="4"/>
      <c r="H81" s="4"/>
      <c r="I81" s="4"/>
      <c r="J81" s="4"/>
      <c r="K81" s="4"/>
      <c r="L81" s="4"/>
      <c r="M81" s="4"/>
      <c r="N81" s="4"/>
      <c r="O81" s="43"/>
      <c r="P81" s="43"/>
      <c r="Q81" s="152"/>
      <c r="R81" s="153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</row>
    <row r="82" spans="4:29" x14ac:dyDescent="0.25">
      <c r="F82" s="59"/>
      <c r="G82" s="59"/>
      <c r="H82" s="59"/>
      <c r="I82" s="59"/>
      <c r="J82" s="59"/>
      <c r="K82" s="59"/>
      <c r="L82" s="59"/>
      <c r="M82" s="59"/>
      <c r="N82" s="59"/>
      <c r="O82" s="59"/>
      <c r="P82" s="59"/>
      <c r="Q82" s="154"/>
      <c r="R82" s="154"/>
      <c r="S82" s="59"/>
      <c r="T82" s="59"/>
      <c r="U82" s="59"/>
      <c r="V82" s="59"/>
      <c r="W82" s="59"/>
      <c r="X82" s="59"/>
      <c r="Y82" s="59"/>
      <c r="Z82" s="59"/>
      <c r="AA82" s="59"/>
      <c r="AB82" s="59"/>
      <c r="AC82" s="59"/>
    </row>
    <row r="86" spans="4:29" x14ac:dyDescent="0.25">
      <c r="H86" s="10"/>
      <c r="K86" s="111"/>
      <c r="L86" s="111"/>
      <c r="M86" s="111"/>
      <c r="N86" s="111"/>
      <c r="O86" s="111"/>
      <c r="P86" s="111"/>
      <c r="Q86" s="155"/>
      <c r="R86" s="155"/>
      <c r="S86" s="111"/>
      <c r="T86" s="111"/>
      <c r="U86" s="111"/>
      <c r="V86" s="111"/>
      <c r="W86" s="111"/>
      <c r="X86" s="111"/>
      <c r="Y86" s="111"/>
      <c r="Z86" s="111"/>
      <c r="AA86" s="111"/>
      <c r="AB86" s="111"/>
      <c r="AC86" s="111"/>
    </row>
    <row r="88" spans="4:29" x14ac:dyDescent="0.25">
      <c r="L88" s="103"/>
    </row>
    <row r="91" spans="4:29" x14ac:dyDescent="0.25">
      <c r="N91" s="10"/>
      <c r="O91" s="10"/>
      <c r="P91" s="10"/>
      <c r="Q91" s="128"/>
      <c r="R91" s="128"/>
      <c r="S91" s="10"/>
      <c r="T91" s="10"/>
      <c r="U91" s="10"/>
      <c r="V91" s="10"/>
      <c r="W91" s="10"/>
      <c r="X91" s="10"/>
      <c r="Y91" s="10"/>
      <c r="Z91" s="10"/>
      <c r="AA91" s="10"/>
      <c r="AB91" s="10"/>
      <c r="AC91" s="10"/>
    </row>
  </sheetData>
  <pageMargins left="0.7" right="0.7" top="0.75" bottom="0.75" header="0.3" footer="0.3"/>
  <drawing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10</vt:i4>
      </vt:variant>
    </vt:vector>
  </HeadingPairs>
  <TitlesOfParts>
    <vt:vector size="26" baseType="lpstr">
      <vt:lpstr>2010 Budget</vt:lpstr>
      <vt:lpstr>2011 Budget</vt:lpstr>
      <vt:lpstr>2012 Budget</vt:lpstr>
      <vt:lpstr>2013 Budget</vt:lpstr>
      <vt:lpstr>2014 Budget</vt:lpstr>
      <vt:lpstr>2015 Budget</vt:lpstr>
      <vt:lpstr>2016 Budget</vt:lpstr>
      <vt:lpstr>2017 Budget</vt:lpstr>
      <vt:lpstr>2018 Budget</vt:lpstr>
      <vt:lpstr>2019 Budget</vt:lpstr>
      <vt:lpstr>2020 Budget</vt:lpstr>
      <vt:lpstr>2021 Budget</vt:lpstr>
      <vt:lpstr>2022 Budget</vt:lpstr>
      <vt:lpstr>2023 Budget</vt:lpstr>
      <vt:lpstr>2024 Budget</vt:lpstr>
      <vt:lpstr>2025 Budget</vt:lpstr>
      <vt:lpstr>'2010 Budget'!Print_Area</vt:lpstr>
      <vt:lpstr>'2011 Budget'!Print_Area</vt:lpstr>
      <vt:lpstr>'2012 Budget'!Print_Area</vt:lpstr>
      <vt:lpstr>'2013 Budget'!Print_Area</vt:lpstr>
      <vt:lpstr>'2014 Budget'!Print_Area</vt:lpstr>
      <vt:lpstr>'2015 Budget'!Print_Area</vt:lpstr>
      <vt:lpstr>'2016 Budget'!Print_Area</vt:lpstr>
      <vt:lpstr>'2017 Budget'!Print_Area</vt:lpstr>
      <vt:lpstr>'2022 Budget'!Print_Area</vt:lpstr>
      <vt:lpstr>'2023 Budget'!Print_Area</vt:lpstr>
    </vt:vector>
  </TitlesOfParts>
  <Company>Cooper Communities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Rick Scott</cp:lastModifiedBy>
  <cp:lastPrinted>2024-05-03T01:18:02Z</cp:lastPrinted>
  <dcterms:created xsi:type="dcterms:W3CDTF">2010-01-06T16:37:59Z</dcterms:created>
  <dcterms:modified xsi:type="dcterms:W3CDTF">2025-05-13T18:16:29Z</dcterms:modified>
</cp:coreProperties>
</file>